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G:\Delade_dokument\Klimat och Energi\Fossilbränslefria kommuner 2.0\Aktiviteter\A1. Kommunutmaningen\2021\Statistik PM\"/>
    </mc:Choice>
  </mc:AlternateContent>
  <xr:revisionPtr revIDLastSave="0" documentId="13_ncr:1_{5F5A61DC-1C95-472B-95C3-C95848D9F519}" xr6:coauthVersionLast="47" xr6:coauthVersionMax="47" xr10:uidLastSave="{00000000-0000-0000-0000-000000000000}"/>
  <bookViews>
    <workbookView xWindow="-108" yWindow="-108" windowWidth="23256" windowHeight="12576" activeTab="2" xr2:uid="{5270959D-7B38-4FC9-B88C-11B60CA61D9E}"/>
  </bookViews>
  <sheets>
    <sheet name="Metodik för datainsamling" sheetId="14" r:id="rId1"/>
    <sheet name="Avgränsningar" sheetId="8" r:id="rId2"/>
    <sheet name="El och Uppvärmning" sheetId="9" r:id="rId3"/>
    <sheet name="Transporter Steg 1, 2 och 3" sheetId="4" r:id="rId4"/>
    <sheet name="Transporter Steg 4" sheetId="13" r:id="rId5"/>
    <sheet name="ÄNDRA EJ -&gt;" sheetId="11" r:id="rId6"/>
    <sheet name="Underlag - El o Uppv" sheetId="10" r:id="rId7"/>
    <sheet name="Underlag -Transporter-Drivmede " sheetId="1" r:id="rId8"/>
    <sheet name="Underlag-Transport-Övriga" sheetId="7"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7" l="1"/>
  <c r="F49" i="7" l="1"/>
  <c r="F47" i="7"/>
  <c r="E49" i="7"/>
  <c r="F48" i="7"/>
  <c r="E48" i="7"/>
  <c r="D10" i="7"/>
  <c r="F74" i="7"/>
  <c r="F25" i="1" l="1"/>
  <c r="C13" i="1"/>
  <c r="C17" i="4" s="1"/>
  <c r="F101" i="1"/>
  <c r="E46" i="7"/>
  <c r="E47" i="7"/>
  <c r="D59" i="4"/>
  <c r="F59" i="4"/>
  <c r="E24" i="4"/>
  <c r="E25" i="4"/>
  <c r="E28" i="4"/>
  <c r="E27" i="4"/>
  <c r="C28" i="4"/>
  <c r="C27" i="4"/>
  <c r="E20" i="4"/>
  <c r="E19" i="4"/>
  <c r="G18" i="4"/>
  <c r="E17" i="4"/>
  <c r="E18" i="4"/>
  <c r="E16" i="4"/>
  <c r="C18" i="4"/>
  <c r="F13" i="1"/>
  <c r="G17" i="4" s="1"/>
  <c r="E14" i="4"/>
  <c r="E13" i="4"/>
  <c r="G12" i="4"/>
  <c r="E12" i="4"/>
  <c r="C12" i="4"/>
  <c r="E11" i="4"/>
  <c r="C11" i="1"/>
  <c r="C15" i="4" s="1"/>
  <c r="B31" i="13"/>
  <c r="B30" i="13"/>
  <c r="C27" i="1"/>
  <c r="G11" i="1"/>
  <c r="E15" i="4" s="1"/>
  <c r="F11" i="1"/>
  <c r="G15" i="4" s="1"/>
  <c r="F27" i="1"/>
  <c r="F18" i="1"/>
  <c r="G20" i="4" s="1"/>
  <c r="I59" i="4"/>
  <c r="I60" i="4"/>
  <c r="H59" i="4"/>
  <c r="H60" i="4"/>
  <c r="D60" i="4"/>
  <c r="F60" i="4" s="1"/>
  <c r="C7" i="1"/>
  <c r="C11" i="4" s="1"/>
  <c r="C12" i="1"/>
  <c r="C16" i="4" s="1"/>
  <c r="D14" i="7" l="1"/>
  <c r="C114" i="7"/>
  <c r="B110" i="7"/>
  <c r="D105" i="7"/>
  <c r="D106" i="7"/>
  <c r="D104" i="7"/>
  <c r="B14" i="7"/>
  <c r="B101" i="7"/>
  <c r="D9" i="7" l="1"/>
  <c r="F38" i="7" l="1"/>
  <c r="F37" i="7"/>
  <c r="F35" i="7"/>
  <c r="F33" i="7"/>
  <c r="F32" i="7"/>
  <c r="F25" i="7"/>
  <c r="F20" i="7"/>
  <c r="F24" i="7"/>
  <c r="F19" i="7"/>
  <c r="D24" i="7"/>
  <c r="D37" i="7" s="1"/>
  <c r="D21" i="7"/>
  <c r="D34" i="7" s="1"/>
  <c r="O24" i="13"/>
  <c r="O22" i="13"/>
  <c r="O23" i="13" s="1"/>
  <c r="G21" i="1"/>
  <c r="E23" i="4" s="1"/>
  <c r="D77" i="1"/>
  <c r="D78" i="1"/>
  <c r="D79" i="1"/>
  <c r="F19" i="1" s="1"/>
  <c r="D80" i="1"/>
  <c r="F20" i="1" s="1"/>
  <c r="G22" i="4" s="1"/>
  <c r="D81" i="1"/>
  <c r="F21" i="1" s="1"/>
  <c r="G23" i="4" s="1"/>
  <c r="D82" i="1"/>
  <c r="D76" i="1"/>
  <c r="C69" i="1"/>
  <c r="D25" i="7" s="1"/>
  <c r="C67" i="1"/>
  <c r="G20" i="1" s="1"/>
  <c r="E22" i="4" s="1"/>
  <c r="C66" i="1"/>
  <c r="G19" i="1" s="1"/>
  <c r="E21" i="4" s="1"/>
  <c r="D61" i="1"/>
  <c r="C64" i="1" s="1"/>
  <c r="C61" i="1"/>
  <c r="F21" i="7"/>
  <c r="B10" i="7"/>
  <c r="F45" i="7" l="1"/>
  <c r="F26" i="1"/>
  <c r="G28" i="4" s="1"/>
  <c r="G21" i="4"/>
  <c r="C65" i="1"/>
  <c r="C108" i="7" s="1"/>
  <c r="D108" i="7" s="1"/>
  <c r="C107" i="7"/>
  <c r="D107" i="7" s="1"/>
  <c r="C15" i="7"/>
  <c r="D19" i="7"/>
  <c r="D22" i="7" s="1"/>
  <c r="D20" i="7"/>
  <c r="D33" i="7" s="1"/>
  <c r="D36" i="7" s="1"/>
  <c r="D38" i="7"/>
  <c r="E36" i="7"/>
  <c r="D23" i="7" l="1"/>
  <c r="D109" i="7"/>
  <c r="E23" i="7"/>
  <c r="B111" i="7" l="1"/>
  <c r="C14" i="7" s="1"/>
  <c r="F10" i="1"/>
  <c r="C10" i="1"/>
  <c r="C14" i="4" s="1"/>
  <c r="D14" i="4" s="1"/>
  <c r="F14" i="4" l="1"/>
  <c r="G27" i="4"/>
  <c r="G14" i="4"/>
  <c r="H14" i="4" s="1"/>
  <c r="B33" i="13"/>
  <c r="H22" i="13"/>
  <c r="H23" i="13" s="1"/>
  <c r="F7" i="1" l="1"/>
  <c r="G11" i="4" s="1"/>
  <c r="F12" i="1"/>
  <c r="G16" i="4" s="1"/>
  <c r="F9" i="1"/>
  <c r="G13" i="4" s="1"/>
  <c r="C18" i="1"/>
  <c r="C20" i="4" s="1"/>
  <c r="D20" i="4" s="1"/>
  <c r="F17" i="1"/>
  <c r="G19" i="4" s="1"/>
  <c r="C17" i="1"/>
  <c r="C19" i="4" s="1"/>
  <c r="D19" i="4" s="1"/>
  <c r="F19" i="4" l="1"/>
  <c r="H19" i="4"/>
  <c r="F20" i="4"/>
  <c r="H20" i="4"/>
  <c r="C9" i="1"/>
  <c r="C13" i="4" s="1"/>
  <c r="E45" i="7" l="1"/>
  <c r="E44" i="7"/>
  <c r="B61" i="4" l="1"/>
  <c r="F99" i="1" l="1"/>
  <c r="F22" i="1" s="1"/>
  <c r="G24" i="4" s="1"/>
  <c r="F34" i="7" l="1"/>
  <c r="B50" i="4" l="1"/>
  <c r="E46" i="4" l="1"/>
  <c r="D12" i="7"/>
  <c r="B12" i="7"/>
  <c r="G46" i="4" l="1"/>
  <c r="C46" i="4"/>
  <c r="B40" i="7" l="1"/>
  <c r="C38" i="7" s="1"/>
  <c r="C35" i="7" l="1"/>
  <c r="C32" i="7"/>
  <c r="C36" i="7"/>
  <c r="C33" i="7"/>
  <c r="C37" i="7"/>
  <c r="C34" i="7"/>
  <c r="F41" i="7" l="1"/>
  <c r="B35" i="9"/>
  <c r="F27" i="9"/>
  <c r="F29" i="9"/>
  <c r="F32" i="9"/>
  <c r="F33" i="9"/>
  <c r="E32" i="9"/>
  <c r="E31" i="9"/>
  <c r="F31" i="9" s="1"/>
  <c r="E30" i="9"/>
  <c r="F30" i="9" s="1"/>
  <c r="E29" i="9"/>
  <c r="C32" i="9"/>
  <c r="C31" i="9"/>
  <c r="C30" i="9"/>
  <c r="C29" i="9"/>
  <c r="C28" i="9"/>
  <c r="C26" i="9"/>
  <c r="F18" i="9" l="1"/>
  <c r="C16" i="9"/>
  <c r="C17" i="9"/>
  <c r="C15" i="9"/>
  <c r="C14" i="9"/>
  <c r="C13" i="9"/>
  <c r="E13" i="10" l="1"/>
  <c r="E28" i="9" s="1"/>
  <c r="F28" i="9" s="1"/>
  <c r="E12" i="10"/>
  <c r="E26" i="9" s="1"/>
  <c r="F26" i="9" s="1"/>
  <c r="D10" i="10"/>
  <c r="F35" i="9" l="1"/>
  <c r="E10" i="10"/>
  <c r="E17" i="9" s="1"/>
  <c r="F17" i="9" s="1"/>
  <c r="E9" i="10"/>
  <c r="E16" i="9" s="1"/>
  <c r="F16" i="9" s="1"/>
  <c r="E8" i="10"/>
  <c r="E15" i="9" s="1"/>
  <c r="F15" i="9" s="1"/>
  <c r="E7" i="10"/>
  <c r="E14" i="9" s="1"/>
  <c r="F14" i="9" s="1"/>
  <c r="E6" i="10"/>
  <c r="E13" i="9" s="1"/>
  <c r="F13" i="9" s="1"/>
  <c r="F20" i="9" l="1"/>
  <c r="B63" i="9"/>
  <c r="B62" i="9"/>
  <c r="D33" i="9"/>
  <c r="D32" i="9"/>
  <c r="D31" i="9"/>
  <c r="D30" i="9"/>
  <c r="D29" i="9"/>
  <c r="D28" i="9"/>
  <c r="D27" i="9"/>
  <c r="D26" i="9"/>
  <c r="B20" i="9"/>
  <c r="D18" i="9"/>
  <c r="D16" i="9"/>
  <c r="D15" i="9"/>
  <c r="D14" i="9"/>
  <c r="D13" i="9"/>
  <c r="D35" i="9" l="1"/>
  <c r="D20" i="9"/>
  <c r="J14" i="9" s="1"/>
  <c r="D37" i="9" l="1"/>
  <c r="I28" i="9" s="1"/>
  <c r="I29" i="9" s="1"/>
  <c r="J15" i="9"/>
  <c r="I15" i="9"/>
  <c r="D22" i="9"/>
  <c r="J20" i="9" s="1"/>
  <c r="J21" i="9" s="1"/>
  <c r="I14" i="9"/>
  <c r="K15" i="9" l="1"/>
  <c r="H15" i="9" s="1"/>
  <c r="K14" i="9"/>
  <c r="H14" i="9" s="1"/>
  <c r="I46" i="4"/>
  <c r="I47" i="4"/>
  <c r="I48" i="4"/>
  <c r="G26" i="4" l="1"/>
  <c r="F98" i="1"/>
  <c r="F23" i="1" s="1"/>
  <c r="F46" i="7" s="1"/>
  <c r="H46" i="4"/>
  <c r="H47" i="4"/>
  <c r="H48" i="4"/>
  <c r="G40" i="4"/>
  <c r="H40" i="4" s="1"/>
  <c r="G43" i="4"/>
  <c r="H43" i="4" s="1"/>
  <c r="E40" i="4"/>
  <c r="I40" i="4" s="1"/>
  <c r="E41" i="4"/>
  <c r="I41" i="4" s="1"/>
  <c r="E42" i="4"/>
  <c r="I42" i="4" s="1"/>
  <c r="E43" i="4"/>
  <c r="I43" i="4" s="1"/>
  <c r="C40" i="4"/>
  <c r="C43" i="4"/>
  <c r="E41" i="7"/>
  <c r="B11" i="7" s="1"/>
  <c r="C45" i="4" s="1"/>
  <c r="G25" i="4" l="1"/>
  <c r="G44" i="4"/>
  <c r="H44" i="4" s="1"/>
  <c r="C44" i="4"/>
  <c r="F44" i="7"/>
  <c r="D11" i="7"/>
  <c r="G45" i="4" s="1"/>
  <c r="H45" i="4" s="1"/>
  <c r="G57" i="4" l="1"/>
  <c r="H57" i="4" s="1"/>
  <c r="C57" i="4"/>
  <c r="D7" i="7"/>
  <c r="G41" i="4" s="1"/>
  <c r="H41" i="4" s="1"/>
  <c r="H59" i="7"/>
  <c r="D8" i="7" s="1"/>
  <c r="G42" i="4" s="1"/>
  <c r="H42" i="4" s="1"/>
  <c r="F56" i="7"/>
  <c r="G56" i="7" s="1"/>
  <c r="F57" i="7"/>
  <c r="G57" i="7" s="1"/>
  <c r="F58" i="7"/>
  <c r="G58" i="7" s="1"/>
  <c r="F55" i="7"/>
  <c r="G55" i="7" s="1"/>
  <c r="B7" i="7" s="1"/>
  <c r="C41" i="4" s="1"/>
  <c r="G59" i="7" l="1"/>
  <c r="B8" i="7" s="1"/>
  <c r="C42" i="4" s="1"/>
  <c r="F23" i="7" l="1"/>
  <c r="T30" i="7" l="1"/>
  <c r="T28" i="7"/>
  <c r="T25" i="7" s="1"/>
  <c r="E58" i="4" l="1"/>
  <c r="I58" i="4" s="1"/>
  <c r="B26" i="7"/>
  <c r="C23" i="7" s="1"/>
  <c r="C24" i="7" l="1"/>
  <c r="C22" i="7"/>
  <c r="C19" i="7"/>
  <c r="C21" i="7"/>
  <c r="C25" i="7"/>
  <c r="C20" i="7"/>
  <c r="F28" i="7" l="1"/>
  <c r="D5" i="7" s="1"/>
  <c r="G39" i="4" s="1"/>
  <c r="H39" i="4" s="1"/>
  <c r="H50" i="4" s="1"/>
  <c r="D57" i="4"/>
  <c r="D48" i="4"/>
  <c r="F48" i="4" s="1"/>
  <c r="D47" i="4"/>
  <c r="F47" i="4" s="1"/>
  <c r="D46" i="4"/>
  <c r="D45" i="4"/>
  <c r="D44" i="4"/>
  <c r="D43" i="4"/>
  <c r="D42" i="4"/>
  <c r="F42" i="4" s="1"/>
  <c r="D41" i="4"/>
  <c r="D40" i="4"/>
  <c r="B5" i="7" l="1"/>
  <c r="C39" i="4" s="1"/>
  <c r="D39" i="4" s="1"/>
  <c r="D50" i="4" s="1"/>
  <c r="F40" i="4"/>
  <c r="F43" i="4"/>
  <c r="F46" i="4"/>
  <c r="F41" i="4"/>
  <c r="E40" i="1" l="1"/>
  <c r="E39" i="1"/>
  <c r="E38" i="1"/>
  <c r="E37" i="1"/>
  <c r="C19" i="1" s="1"/>
  <c r="C21" i="4" s="1"/>
  <c r="E36" i="1"/>
  <c r="E35" i="1"/>
  <c r="E34" i="1"/>
  <c r="E33" i="1"/>
  <c r="C101" i="1" l="1"/>
  <c r="E84" i="7"/>
  <c r="B15" i="7" s="1"/>
  <c r="D15" i="7" s="1"/>
  <c r="C20" i="1"/>
  <c r="C22" i="4" s="1"/>
  <c r="C23" i="1"/>
  <c r="C25" i="4" s="1"/>
  <c r="C22" i="1"/>
  <c r="C24" i="4" s="1"/>
  <c r="C21" i="1"/>
  <c r="C23" i="4" s="1"/>
  <c r="C58" i="4" l="1"/>
  <c r="D58" i="4" s="1"/>
  <c r="F58" i="4" s="1"/>
  <c r="G58" i="4"/>
  <c r="H58" i="4" s="1"/>
  <c r="H61" i="4" s="1"/>
  <c r="D61" i="4" l="1"/>
  <c r="D32" i="7"/>
  <c r="D35" i="7" s="1"/>
  <c r="D28" i="7" l="1"/>
  <c r="D41" i="7"/>
  <c r="C11" i="7" s="1"/>
  <c r="E45" i="4" s="1"/>
  <c r="I45" i="4" s="1"/>
  <c r="C5" i="7" l="1"/>
  <c r="C10" i="7" s="1"/>
  <c r="E44" i="4" s="1"/>
  <c r="E39" i="4"/>
  <c r="E57" i="4"/>
  <c r="F45" i="4"/>
  <c r="D30" i="4"/>
  <c r="D29" i="4"/>
  <c r="D28" i="4"/>
  <c r="D27" i="4"/>
  <c r="D26" i="4"/>
  <c r="D25" i="4"/>
  <c r="D24" i="4"/>
  <c r="D23" i="4"/>
  <c r="D22" i="4"/>
  <c r="D21" i="4"/>
  <c r="D18" i="4"/>
  <c r="D17" i="4"/>
  <c r="D16" i="4"/>
  <c r="D15" i="4"/>
  <c r="D13" i="4"/>
  <c r="D12" i="4"/>
  <c r="I57" i="4" l="1"/>
  <c r="F57" i="4"/>
  <c r="D63" i="4" s="1"/>
  <c r="I44" i="4"/>
  <c r="F44" i="4"/>
  <c r="I39" i="4"/>
  <c r="F39" i="4"/>
  <c r="F15" i="4"/>
  <c r="H15" i="4"/>
  <c r="F21" i="4"/>
  <c r="H21" i="4"/>
  <c r="F25" i="4"/>
  <c r="H25" i="4"/>
  <c r="F29" i="4"/>
  <c r="H29" i="4"/>
  <c r="F16" i="4"/>
  <c r="H16" i="4"/>
  <c r="F22" i="4"/>
  <c r="H22" i="4"/>
  <c r="F26" i="4"/>
  <c r="H26" i="4"/>
  <c r="F30" i="4"/>
  <c r="H30" i="4"/>
  <c r="F17" i="4"/>
  <c r="H17" i="4"/>
  <c r="F27" i="4"/>
  <c r="H27" i="4"/>
  <c r="F12" i="4"/>
  <c r="H12" i="4"/>
  <c r="F23" i="4"/>
  <c r="H23" i="4"/>
  <c r="F13" i="4"/>
  <c r="H13" i="4"/>
  <c r="F18" i="4"/>
  <c r="H18" i="4"/>
  <c r="F24" i="4"/>
  <c r="H24" i="4"/>
  <c r="F28" i="4"/>
  <c r="H28" i="4"/>
  <c r="D11" i="4"/>
  <c r="D32" i="4" s="1"/>
  <c r="F50" i="4" l="1"/>
  <c r="I50" i="4"/>
  <c r="M61" i="4"/>
  <c r="M62" i="4" s="1"/>
  <c r="F61" i="4"/>
  <c r="H63" i="4"/>
  <c r="I61" i="4"/>
  <c r="H11" i="4"/>
  <c r="H32" i="4" s="1"/>
  <c r="F11" i="4"/>
  <c r="F32" i="4" l="1"/>
  <c r="J16" i="9" l="1"/>
  <c r="J17" i="9" s="1"/>
  <c r="D34" i="4"/>
  <c r="M24" i="4" s="1"/>
  <c r="M25" i="4" s="1"/>
  <c r="I16" i="9"/>
  <c r="I17" i="9" s="1"/>
  <c r="D53" i="4"/>
  <c r="M49" i="4" s="1"/>
  <c r="M50" i="4" s="1"/>
  <c r="K17" i="9" l="1"/>
  <c r="H16" i="9" s="1"/>
  <c r="H53" i="4"/>
  <c r="M45" i="4" s="1"/>
  <c r="M4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Elamzon Johannes</author>
    <author>Magnus Strand</author>
  </authors>
  <commentList>
    <comment ref="E25" authorId="0" shapeId="0" xr:uid="{C95034BF-2D98-4120-B42A-798C0E3406BD}">
      <text>
        <r>
          <rPr>
            <b/>
            <sz val="9"/>
            <color indexed="81"/>
            <rFont val="Tahoma"/>
            <family val="2"/>
          </rPr>
          <t>Elamzon Johannes:</t>
        </r>
        <r>
          <rPr>
            <sz val="9"/>
            <color indexed="81"/>
            <rFont val="Tahoma"/>
            <family val="2"/>
          </rPr>
          <t xml:space="preserve">
Schabloner utgår från endast fossila växthusgasutsläpp vid produktion/användning. Ej framställning och transport</t>
        </r>
      </text>
    </comment>
    <comment ref="C27" authorId="0" shapeId="0" xr:uid="{ABD7D8BC-D2FC-417D-8AE1-63366D178B7E}">
      <text>
        <r>
          <rPr>
            <b/>
            <sz val="9"/>
            <color indexed="81"/>
            <rFont val="Tahoma"/>
            <family val="2"/>
          </rPr>
          <t>Elamzon Johannes:</t>
        </r>
        <r>
          <rPr>
            <sz val="9"/>
            <color indexed="81"/>
            <rFont val="Tahoma"/>
            <family val="2"/>
          </rPr>
          <t xml:space="preserve">
*Fråga ert lokala Fjärrvärmebolag. För er som har gemensamma Fjärrvärmenät dvs. Lomma-Lund-Eslöv-Landskrona-Helsingborg - använd ert lokala Fjärrvärmebolags siffror. (Varje bolag redovisar var för sig och tar hänsyn till vilken värme som har importerats/ exporterats från de olika leverentörerna så att totalen blir rätt. Dessa fjärrvärmebolag har kommit överense om samma räknesätt).  </t>
        </r>
      </text>
    </comment>
    <comment ref="E27" authorId="0" shapeId="0" xr:uid="{94406ADC-7D71-45C1-B96B-815DFB8EB1DD}">
      <text>
        <r>
          <rPr>
            <b/>
            <sz val="9"/>
            <color indexed="81"/>
            <rFont val="Tahoma"/>
            <family val="2"/>
          </rPr>
          <t>Elamzon Johannes:</t>
        </r>
        <r>
          <rPr>
            <sz val="9"/>
            <color indexed="81"/>
            <rFont val="Tahoma"/>
            <family val="2"/>
          </rPr>
          <t xml:space="preserve">
Fås från det/de lokala fjärrvärmebolaget. Finns vissa siffor på energiföretagens hemsida. Men ni ha flera leverantörer/nät eller olika produkter såsom "grön fjärrvärme"  https://www.energiforetagen.se/statistik/fjarrvarmestatistik/miljovardering-av-fjarrvarme/</t>
        </r>
      </text>
    </comment>
    <comment ref="A58" authorId="1" shapeId="0" xr:uid="{4AD1F636-9A44-4A8E-A3A1-912CEF3CDF44}">
      <text>
        <r>
          <rPr>
            <b/>
            <sz val="9"/>
            <color indexed="81"/>
            <rFont val="Tahoma"/>
            <family val="2"/>
          </rPr>
          <t>Magnus Strand:</t>
        </r>
        <r>
          <rPr>
            <sz val="9"/>
            <color indexed="81"/>
            <rFont val="Tahoma"/>
            <family val="2"/>
          </rPr>
          <t xml:space="preserve">
Ingår ej i sammanställningen ovan då det är oklart hur mycket som används till uppvärmning av fastigheter och uppvärmning till rötgaskammare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Eliasson Eric</author>
    <author>Johan Nyqvist</author>
    <author>Elamzon Johannes</author>
    <author>Johansson Erik M</author>
  </authors>
  <commentList>
    <comment ref="E26" authorId="0" shapeId="0" xr:uid="{BEC44184-41CB-4F39-9B2D-11AA0EACE086}">
      <text>
        <r>
          <rPr>
            <b/>
            <sz val="9"/>
            <color indexed="81"/>
            <rFont val="Tahoma"/>
            <family val="2"/>
          </rPr>
          <t>Eliasson Eric:</t>
        </r>
        <r>
          <rPr>
            <sz val="9"/>
            <color indexed="81"/>
            <rFont val="Tahoma"/>
            <family val="2"/>
          </rPr>
          <t xml:space="preserve">
Ange andel fossilbränslefritt. Miljömärkt el räknar vi som 100% fossilbränslefri.</t>
        </r>
      </text>
    </comment>
    <comment ref="A29" authorId="1" shapeId="0" xr:uid="{FC7E8CE8-5DA3-4EA3-A11F-31CD9B9A079C}">
      <text>
        <r>
          <rPr>
            <b/>
            <sz val="9"/>
            <color indexed="81"/>
            <rFont val="Tahoma"/>
            <family val="2"/>
          </rPr>
          <t>Johan Nyqvist:</t>
        </r>
        <r>
          <rPr>
            <sz val="9"/>
            <color indexed="81"/>
            <rFont val="Tahoma"/>
            <family val="2"/>
          </rPr>
          <t xml:space="preserve">
Ange energiinnehåll och andel fossilbränslefritt [% energi]. Ange gärna även Emissionsvärde</t>
        </r>
      </text>
    </comment>
    <comment ref="G29" authorId="2" shapeId="0" xr:uid="{D83D7AD3-028F-4B77-845C-664DB8CA2E40}">
      <text>
        <r>
          <rPr>
            <b/>
            <sz val="9"/>
            <color indexed="81"/>
            <rFont val="Tahoma"/>
            <family val="2"/>
          </rPr>
          <t xml:space="preserve">Elamzon Johannes: </t>
        </r>
        <r>
          <rPr>
            <sz val="9"/>
            <color indexed="81"/>
            <rFont val="Tahoma"/>
            <family val="2"/>
          </rPr>
          <t>För att konvertera från gCO2eq/MJ till kg/kWh ta värdet (i g/CO2eq)
 * 0,0036</t>
        </r>
      </text>
    </comment>
    <comment ref="A30" authorId="1" shapeId="0" xr:uid="{C1BF975E-2B08-4116-B650-7074683D3A33}">
      <text>
        <r>
          <rPr>
            <b/>
            <sz val="9"/>
            <color indexed="81"/>
            <rFont val="Tahoma"/>
            <family val="2"/>
          </rPr>
          <t>Johan Nyqvist:</t>
        </r>
        <r>
          <rPr>
            <sz val="9"/>
            <color indexed="81"/>
            <rFont val="Tahoma"/>
            <family val="2"/>
          </rPr>
          <t xml:space="preserve">
Ange energiinnehåll och andel fossilbränslefritt [% energi].Ange gärna även Emissionsvärde</t>
        </r>
      </text>
    </comment>
    <comment ref="G30" authorId="2" shapeId="0" xr:uid="{1F6E2694-06E5-499C-8700-10796BDFC881}">
      <text>
        <r>
          <rPr>
            <b/>
            <sz val="9"/>
            <color indexed="81"/>
            <rFont val="Tahoma"/>
            <family val="2"/>
          </rPr>
          <t>Elamzon Johannes:</t>
        </r>
        <r>
          <rPr>
            <sz val="9"/>
            <color indexed="81"/>
            <rFont val="Tahoma"/>
            <family val="2"/>
          </rPr>
          <t xml:space="preserve">
För att konvertera från gCO2eq/MJ till kg/kWh ta värdet (i g/CO2eq)
 * 0,0036</t>
        </r>
      </text>
    </comment>
    <comment ref="A37" authorId="3" shapeId="0" xr:uid="{2568888E-04D4-45D1-B825-68CF2866ACB5}">
      <text>
        <r>
          <rPr>
            <b/>
            <sz val="9"/>
            <color indexed="81"/>
            <rFont val="Tahoma"/>
            <family val="2"/>
          </rPr>
          <t>Johansson Erik M:</t>
        </r>
        <r>
          <rPr>
            <sz val="9"/>
            <color indexed="81"/>
            <rFont val="Tahoma"/>
            <family val="2"/>
          </rPr>
          <t xml:space="preserve">
Färdtjänst &amp; skolskjuts räknas ej med här för år 2020</t>
        </r>
      </text>
    </comment>
    <comment ref="C44" authorId="2" shapeId="0" xr:uid="{1DA92AD6-ADF8-4706-B8C2-F55E6331EDC9}">
      <text>
        <r>
          <rPr>
            <b/>
            <sz val="9"/>
            <color indexed="81"/>
            <rFont val="Tahoma"/>
            <family val="2"/>
          </rPr>
          <t>Elamzon Johannes:</t>
        </r>
        <r>
          <rPr>
            <sz val="9"/>
            <color indexed="81"/>
            <rFont val="Tahoma"/>
            <family val="2"/>
          </rPr>
          <t xml:space="preserve">
Ange annan omvandlingfaktor om ni har fått bättre uppgifter</t>
        </r>
      </text>
    </comment>
    <comment ref="E44" authorId="2" shapeId="0" xr:uid="{71FFC083-59BF-4F27-BB60-E66E35600F2B}">
      <text>
        <r>
          <rPr>
            <b/>
            <sz val="9"/>
            <color indexed="81"/>
            <rFont val="Tahoma"/>
            <family val="2"/>
          </rPr>
          <t>Elamzon Johannes:</t>
        </r>
        <r>
          <rPr>
            <sz val="9"/>
            <color indexed="81"/>
            <rFont val="Tahoma"/>
            <family val="2"/>
          </rPr>
          <t xml:space="preserve">
Ange annan förnybar andel om det är aktuellt</t>
        </r>
      </text>
    </comment>
    <comment ref="G44" authorId="2" shapeId="0" xr:uid="{69D4C29C-0D02-4412-963C-34059C6209BB}">
      <text>
        <r>
          <rPr>
            <b/>
            <sz val="9"/>
            <color indexed="81"/>
            <rFont val="Tahoma"/>
            <family val="2"/>
          </rPr>
          <t>Elamzon Johannes:</t>
        </r>
        <r>
          <rPr>
            <sz val="9"/>
            <color indexed="81"/>
            <rFont val="Tahoma"/>
            <family val="2"/>
          </rPr>
          <t xml:space="preserve">
Ange annan emissionsfaktor om det är aktuellt</t>
        </r>
      </text>
    </comment>
    <comment ref="C45" authorId="2" shapeId="0" xr:uid="{368C7CA0-CE21-4E8F-8AC2-BCCE870DCD4F}">
      <text>
        <r>
          <rPr>
            <b/>
            <sz val="9"/>
            <color indexed="81"/>
            <rFont val="Tahoma"/>
            <family val="2"/>
          </rPr>
          <t>Elamzon Johannes:</t>
        </r>
        <r>
          <rPr>
            <sz val="9"/>
            <color indexed="81"/>
            <rFont val="Tahoma"/>
            <family val="2"/>
          </rPr>
          <t xml:space="preserve">
Ange annan omvandlingfaktor om ni har fått bättre uppgifter</t>
        </r>
      </text>
    </comment>
    <comment ref="E45" authorId="2" shapeId="0" xr:uid="{EB4F5E89-F2F3-46C5-A033-E06F8D068EC8}">
      <text>
        <r>
          <rPr>
            <b/>
            <sz val="9"/>
            <color indexed="81"/>
            <rFont val="Tahoma"/>
            <family val="2"/>
          </rPr>
          <t>Elamzon Johannes:</t>
        </r>
        <r>
          <rPr>
            <sz val="9"/>
            <color indexed="81"/>
            <rFont val="Tahoma"/>
            <family val="2"/>
          </rPr>
          <t xml:space="preserve">
Ange annan förnybar andel om det är aktuellt. Förifyllt värde är ett riksgenomsnitt</t>
        </r>
      </text>
    </comment>
    <comment ref="G45" authorId="2" shapeId="0" xr:uid="{E494A576-62BE-4064-8EC6-6D880E5A88A3}">
      <text>
        <r>
          <rPr>
            <b/>
            <sz val="9"/>
            <color indexed="81"/>
            <rFont val="Tahoma"/>
            <family val="2"/>
          </rPr>
          <t>Elamzon Johannes:</t>
        </r>
        <r>
          <rPr>
            <sz val="9"/>
            <color indexed="81"/>
            <rFont val="Tahoma"/>
            <family val="2"/>
          </rPr>
          <t xml:space="preserve">
Ange annan emissionsfaktor om det är aktuellt. Förifyllt värde är riksgenomsnitt</t>
        </r>
      </text>
    </comment>
    <comment ref="C46" authorId="3" shapeId="0" xr:uid="{E3C445B6-F19A-4AC6-900C-84E7387E8AF9}">
      <text>
        <r>
          <rPr>
            <b/>
            <sz val="9"/>
            <color indexed="81"/>
            <rFont val="Tahoma"/>
            <family val="2"/>
          </rPr>
          <t>Johansson Erik M:</t>
        </r>
        <r>
          <rPr>
            <sz val="9"/>
            <color indexed="81"/>
            <rFont val="Tahoma"/>
            <family val="2"/>
          </rPr>
          <t xml:space="preserve">
Ange annan omvandlingsfaktor om ni fått bättre uppgifter</t>
        </r>
      </text>
    </comment>
    <comment ref="E46" authorId="3" shapeId="0" xr:uid="{4CA88DF8-2D9B-4BF5-9714-F9CA3B375160}">
      <text>
        <r>
          <rPr>
            <b/>
            <sz val="9"/>
            <color indexed="81"/>
            <rFont val="Tahoma"/>
            <family val="2"/>
          </rPr>
          <t>Johansson Erik M:</t>
        </r>
        <r>
          <rPr>
            <sz val="9"/>
            <color indexed="81"/>
            <rFont val="Tahoma"/>
            <family val="2"/>
          </rPr>
          <t xml:space="preserve">
Ange annan förnybar andel om det är aktuellt. Förifyllt värde är en uppskattning</t>
        </r>
      </text>
    </comment>
    <comment ref="G46" authorId="3" shapeId="0" xr:uid="{43804FB1-A4DA-40FA-AD08-F4BD6A49D9E7}">
      <text>
        <r>
          <rPr>
            <b/>
            <sz val="9"/>
            <color indexed="81"/>
            <rFont val="Tahoma"/>
            <family val="2"/>
          </rPr>
          <t>Johansson Erik M:</t>
        </r>
        <r>
          <rPr>
            <sz val="9"/>
            <color indexed="81"/>
            <rFont val="Tahoma"/>
            <family val="2"/>
          </rPr>
          <t xml:space="preserve">
Ange annan emissionsfaktor om det är aktuellt. Förifyllt värde är en uppskattning</t>
        </r>
      </text>
    </comment>
    <comment ref="A47" authorId="3" shapeId="0" xr:uid="{BAF79368-2D60-4149-AA38-7B7F1F18D1C4}">
      <text>
        <r>
          <rPr>
            <b/>
            <sz val="9"/>
            <color indexed="81"/>
            <rFont val="Tahoma"/>
            <family val="2"/>
          </rPr>
          <t>Johansson Erik M:</t>
        </r>
        <r>
          <rPr>
            <sz val="9"/>
            <color indexed="81"/>
            <rFont val="Tahoma"/>
            <family val="2"/>
          </rPr>
          <t xml:space="preserve">
Ange energiinnehåll och andel fossilbränslefritt [% energi]. Ange gärna även Emissionsvärde</t>
        </r>
      </text>
    </comment>
    <comment ref="A48" authorId="3" shapeId="0" xr:uid="{E2D0891C-D341-423F-A276-38D7C185CA44}">
      <text>
        <r>
          <rPr>
            <b/>
            <sz val="9"/>
            <color indexed="81"/>
            <rFont val="Tahoma"/>
            <family val="2"/>
          </rPr>
          <t>Johansson Erik M:</t>
        </r>
        <r>
          <rPr>
            <sz val="9"/>
            <color indexed="81"/>
            <rFont val="Tahoma"/>
            <family val="2"/>
          </rPr>
          <t xml:space="preserve">
Ange energiinnehåll och andel fossilbränslefritt [% energi]. Ange gärna även Emissionsvärde</t>
        </r>
      </text>
    </comment>
    <comment ref="A55" authorId="3" shapeId="0" xr:uid="{0CC8CF7C-6AF2-4C7A-BB02-A7E59AA073AA}">
      <text>
        <r>
          <rPr>
            <b/>
            <sz val="9"/>
            <color indexed="81"/>
            <rFont val="Tahoma"/>
            <family val="2"/>
          </rPr>
          <t>Johansson Erik M:</t>
        </r>
        <r>
          <rPr>
            <sz val="9"/>
            <color indexed="81"/>
            <rFont val="Tahoma"/>
            <family val="2"/>
          </rPr>
          <t xml:space="preserve">
Denna kategori tas ej med i den formella sammanställningen av andel fossilbränslefritt och utsäpp</t>
        </r>
      </text>
    </comment>
    <comment ref="A57" authorId="3" shapeId="0" xr:uid="{FF8B0E7F-0FA8-4407-A4BD-28265EA40697}">
      <text>
        <r>
          <rPr>
            <b/>
            <sz val="9"/>
            <color indexed="81"/>
            <rFont val="Tahoma"/>
            <family val="2"/>
          </rPr>
          <t>Johansson Erik M:</t>
        </r>
        <r>
          <rPr>
            <sz val="9"/>
            <color indexed="81"/>
            <rFont val="Tahoma"/>
            <family val="2"/>
          </rPr>
          <t xml:space="preserve">
Denna kategori tas ej med i den formella sammanställningen av andel fossilbränslefritt och utsäpp</t>
        </r>
      </text>
    </comment>
    <comment ref="C57" authorId="2" shapeId="0" xr:uid="{081D4648-5E94-4475-AD00-750FEA499663}">
      <text>
        <r>
          <rPr>
            <b/>
            <sz val="9"/>
            <color indexed="81"/>
            <rFont val="Tahoma"/>
            <family val="2"/>
          </rPr>
          <t>Elamzon Johannes:</t>
        </r>
        <r>
          <rPr>
            <sz val="9"/>
            <color indexed="81"/>
            <rFont val="Tahoma"/>
            <family val="2"/>
          </rPr>
          <t xml:space="preserve">
Ange annan omvandlingfaktor om ni har fått bättre uppgifter</t>
        </r>
      </text>
    </comment>
    <comment ref="E57" authorId="2" shapeId="0" xr:uid="{2E170D90-532B-4F7F-9889-09A36E6A4B9B}">
      <text>
        <r>
          <rPr>
            <b/>
            <sz val="9"/>
            <color indexed="81"/>
            <rFont val="Tahoma"/>
            <family val="2"/>
          </rPr>
          <t>Elamzon Johannes:</t>
        </r>
        <r>
          <rPr>
            <sz val="9"/>
            <color indexed="81"/>
            <rFont val="Tahoma"/>
            <family val="2"/>
          </rPr>
          <t xml:space="preserve">
Ange annan förnybar andel om det är aktuellt</t>
        </r>
      </text>
    </comment>
    <comment ref="G57" authorId="2" shapeId="0" xr:uid="{6725CBCA-EB3D-4E54-A982-85274D6CCA29}">
      <text>
        <r>
          <rPr>
            <b/>
            <sz val="9"/>
            <color indexed="81"/>
            <rFont val="Tahoma"/>
            <family val="2"/>
          </rPr>
          <t>Elamzon Johannes:</t>
        </r>
        <r>
          <rPr>
            <sz val="9"/>
            <color indexed="81"/>
            <rFont val="Tahoma"/>
            <family val="2"/>
          </rPr>
          <t xml:space="preserve">
Ange annan emissionsfaktor om det är aktuellt</t>
        </r>
      </text>
    </comment>
    <comment ref="A58" authorId="3" shapeId="0" xr:uid="{E6BEFECA-23E9-4896-B50A-0EC4C4D55165}">
      <text>
        <r>
          <rPr>
            <b/>
            <sz val="9"/>
            <color indexed="81"/>
            <rFont val="Tahoma"/>
            <family val="2"/>
          </rPr>
          <t>Johansson Erik M:</t>
        </r>
        <r>
          <rPr>
            <sz val="9"/>
            <color indexed="81"/>
            <rFont val="Tahoma"/>
            <family val="2"/>
          </rPr>
          <t xml:space="preserve">
Denna kategori tas ej med i den formella sammanställningen av andel fossilbränslefritt och utsäpp</t>
        </r>
      </text>
    </comment>
    <comment ref="C58" authorId="2" shapeId="0" xr:uid="{FAFBA9FB-6AFF-49D2-8786-B509D28741F7}">
      <text>
        <r>
          <rPr>
            <b/>
            <sz val="9"/>
            <color indexed="81"/>
            <rFont val="Tahoma"/>
            <family val="2"/>
          </rPr>
          <t>Elamzon Johannes:</t>
        </r>
        <r>
          <rPr>
            <sz val="9"/>
            <color indexed="81"/>
            <rFont val="Tahoma"/>
            <family val="2"/>
          </rPr>
          <t xml:space="preserve">
Ange annan omvandlingfaktor om ni har fått bättre uppgifter</t>
        </r>
      </text>
    </comment>
    <comment ref="E58" authorId="2" shapeId="0" xr:uid="{85924488-4CA4-4E6F-AADB-14848719FEC9}">
      <text>
        <r>
          <rPr>
            <b/>
            <sz val="9"/>
            <color indexed="81"/>
            <rFont val="Tahoma"/>
            <family val="2"/>
          </rPr>
          <t>Elamzon Johannes:</t>
        </r>
        <r>
          <rPr>
            <sz val="9"/>
            <color indexed="81"/>
            <rFont val="Tahoma"/>
            <family val="2"/>
          </rPr>
          <t xml:space="preserve">
Ange annan förnybar andel om det är aktuellt</t>
        </r>
      </text>
    </comment>
    <comment ref="G58" authorId="2" shapeId="0" xr:uid="{74236DE8-617C-4DF1-A40C-9683B04DF4B1}">
      <text>
        <r>
          <rPr>
            <b/>
            <sz val="9"/>
            <color indexed="81"/>
            <rFont val="Tahoma"/>
            <family val="2"/>
          </rPr>
          <t>Elamzon Johannes:</t>
        </r>
        <r>
          <rPr>
            <sz val="9"/>
            <color indexed="81"/>
            <rFont val="Tahoma"/>
            <family val="2"/>
          </rPr>
          <t xml:space="preserve">
Ange annan emissionsfaktor om det är aktuellt</t>
        </r>
      </text>
    </comment>
    <comment ref="E59" authorId="2" shapeId="0" xr:uid="{DF319695-0BB3-4574-A4EC-228F7CCD5275}">
      <text>
        <r>
          <rPr>
            <b/>
            <sz val="9"/>
            <color indexed="81"/>
            <rFont val="Tahoma"/>
            <family val="2"/>
          </rPr>
          <t>Elamzon Johannes:</t>
        </r>
        <r>
          <rPr>
            <sz val="9"/>
            <color indexed="81"/>
            <rFont val="Tahoma"/>
            <family val="2"/>
          </rPr>
          <t xml:space="preserve">
Saknas uppgifter förutom kostnader och andel fossilt så kan totalsammanställning från flera leverantörer göras genom viktining baserat på kostnad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Elamzon Johannes</author>
  </authors>
  <commentList>
    <comment ref="A9" authorId="0" shapeId="0" xr:uid="{C49C3DEE-FB3A-4593-B9F5-395331AD898A}">
      <text>
        <r>
          <rPr>
            <b/>
            <sz val="9"/>
            <color indexed="81"/>
            <rFont val="Tahoma"/>
            <family val="2"/>
          </rPr>
          <t>Elamzon Johannes:</t>
        </r>
        <r>
          <rPr>
            <sz val="9"/>
            <color indexed="81"/>
            <rFont val="Tahoma"/>
            <family val="2"/>
          </rPr>
          <t xml:space="preserve">
Maxvikt 3500 kg</t>
        </r>
      </text>
    </comment>
    <comment ref="A11" authorId="0" shapeId="0" xr:uid="{FCDDA113-55EB-4ABB-96BB-0B9689EF98D8}">
      <text>
        <r>
          <rPr>
            <b/>
            <sz val="9"/>
            <color indexed="81"/>
            <rFont val="Tahoma"/>
            <family val="2"/>
          </rPr>
          <t>Elamzon Johannes:</t>
        </r>
        <r>
          <rPr>
            <sz val="9"/>
            <color indexed="81"/>
            <rFont val="Tahoma"/>
            <family val="2"/>
          </rPr>
          <t xml:space="preserve">
Inklusive mildhybrider/ej laddbara hybrider
</t>
        </r>
      </text>
    </comment>
    <comment ref="A13" authorId="0" shapeId="0" xr:uid="{53E81B46-0D71-4B3B-9E53-C47020A1B187}">
      <text>
        <r>
          <rPr>
            <b/>
            <sz val="9"/>
            <color indexed="81"/>
            <rFont val="Tahoma"/>
            <family val="2"/>
          </rPr>
          <t>Elamzon Johannes:</t>
        </r>
        <r>
          <rPr>
            <sz val="9"/>
            <color indexed="81"/>
            <rFont val="Tahoma"/>
            <family val="2"/>
          </rPr>
          <t xml:space="preserve">
Inklusive mildhybrider/ej laddbara hybrider</t>
        </r>
      </text>
    </comment>
    <comment ref="A15" authorId="0" shapeId="0" xr:uid="{1C2EA247-F665-49A0-9960-317D279D0688}">
      <text>
        <r>
          <rPr>
            <b/>
            <sz val="9"/>
            <color indexed="81"/>
            <rFont val="Tahoma"/>
            <family val="2"/>
          </rPr>
          <t>Elamzon Johannes:</t>
        </r>
        <r>
          <rPr>
            <sz val="9"/>
            <color indexed="81"/>
            <rFont val="Tahoma"/>
            <family val="2"/>
          </rPr>
          <t xml:space="preserve">
Avtal för HVO100 finns och bilen har tankkort för HVO100 </t>
        </r>
      </text>
    </comment>
    <comment ref="A20" authorId="0" shapeId="0" xr:uid="{2C2E30E9-00F3-4543-AD7C-A8DF835F76E9}">
      <text>
        <r>
          <rPr>
            <b/>
            <sz val="9"/>
            <color indexed="81"/>
            <rFont val="Tahoma"/>
            <family val="2"/>
          </rPr>
          <t>Elamzon Johannes:</t>
        </r>
        <r>
          <rPr>
            <sz val="9"/>
            <color indexed="81"/>
            <rFont val="Tahoma"/>
            <family val="2"/>
          </rPr>
          <t xml:space="preserve">
Inklusive mildhybrider/ej laddbara hybrider</t>
        </r>
      </text>
    </comment>
    <comment ref="A22" authorId="0" shapeId="0" xr:uid="{73BC4EA0-4B91-40E3-903A-86829055AA2A}">
      <text>
        <r>
          <rPr>
            <b/>
            <sz val="9"/>
            <color indexed="81"/>
            <rFont val="Tahoma"/>
            <family val="2"/>
          </rPr>
          <t>Elamzon Johannes:</t>
        </r>
        <r>
          <rPr>
            <sz val="9"/>
            <color indexed="81"/>
            <rFont val="Tahoma"/>
            <family val="2"/>
          </rPr>
          <t xml:space="preserve">
Inklusive mildhybrider/ej laddbara hybrider</t>
        </r>
      </text>
    </comment>
    <comment ref="A24" authorId="0" shapeId="0" xr:uid="{36195F05-DFCE-4879-BB2A-99C22D208C8E}">
      <text>
        <r>
          <rPr>
            <b/>
            <sz val="9"/>
            <color indexed="81"/>
            <rFont val="Tahoma"/>
            <family val="2"/>
          </rPr>
          <t>Elamzon Johannes:</t>
        </r>
        <r>
          <rPr>
            <sz val="9"/>
            <color indexed="81"/>
            <rFont val="Tahoma"/>
            <family val="2"/>
          </rPr>
          <t xml:space="preserve">
Avtal för HVO100 finns och lastbilen har tankkort för HVO100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tc={A1352B7A-CB21-4645-974D-268735E13739}</author>
    <author>Elamzon Johannes</author>
  </authors>
  <commentList>
    <comment ref="E6" authorId="0" shapeId="0" xr:uid="{A1352B7A-CB21-4645-974D-268735E13739}">
      <text>
        <t>[Trådad kommentar]
I din version av Excel kan du läsa den här trådade kommentaren, men eventuella ändringar i den tas bort om filen öppnas i en senare version av Excel. Läs mer: https://go.microsoft.com/fwlink/?linkid=870924
Kommentar:
    1 kWh = 3,6 MJ
Svar:
    1 MJ =0.277778 kWh</t>
      </text>
    </comment>
    <comment ref="D96" authorId="1" shapeId="0" xr:uid="{E366CA3D-3375-4357-A655-921988FC74C7}">
      <text>
        <r>
          <rPr>
            <b/>
            <sz val="9"/>
            <color indexed="81"/>
            <rFont val="Tahoma"/>
            <family val="2"/>
          </rPr>
          <t>Elamzon Johannes:</t>
        </r>
        <r>
          <rPr>
            <sz val="9"/>
            <color indexed="81"/>
            <rFont val="Tahoma"/>
            <family val="2"/>
          </rPr>
          <t xml:space="preserve">
1 MJ =0.277778 kWh
</t>
        </r>
      </text>
    </comment>
    <comment ref="E96" authorId="1" shapeId="0" xr:uid="{7FC4072F-CC7F-4724-9DD1-7686FF6EB579}">
      <text>
        <r>
          <rPr>
            <b/>
            <sz val="9"/>
            <color indexed="81"/>
            <rFont val="Tahoma"/>
            <family val="2"/>
          </rPr>
          <t>Elamzon Johannes:</t>
        </r>
        <r>
          <rPr>
            <sz val="9"/>
            <color indexed="81"/>
            <rFont val="Tahoma"/>
            <family val="2"/>
          </rPr>
          <t xml:space="preserve">
1 kWh = 3,6 MJ</t>
        </r>
      </text>
    </comment>
  </commentList>
</comments>
</file>

<file path=xl/sharedStrings.xml><?xml version="1.0" encoding="utf-8"?>
<sst xmlns="http://schemas.openxmlformats.org/spreadsheetml/2006/main" count="765" uniqueCount="489">
  <si>
    <t>HVO</t>
  </si>
  <si>
    <t>Orange = till kommunutmaningen (excelmallen)</t>
  </si>
  <si>
    <t>Leverantör</t>
  </si>
  <si>
    <t>Kommentar</t>
  </si>
  <si>
    <t>Källa</t>
  </si>
  <si>
    <t>Steg 1: Bränslen till ägda/leasade fordon och arbetsmaskiner</t>
  </si>
  <si>
    <t>Bränsle/drivmedel</t>
  </si>
  <si>
    <t>Volym el. vikt</t>
  </si>
  <si>
    <t>Energiinnehåll [kWh/enhet]</t>
  </si>
  <si>
    <t>Energi [kWh]</t>
  </si>
  <si>
    <t>Andel fossilbränsle-fritt [% energi]</t>
  </si>
  <si>
    <t>Andel fossilbränsle-fritt [kWh]</t>
  </si>
  <si>
    <t xml:space="preserve">Preem Evolution bensin [liter] </t>
  </si>
  <si>
    <t>Preem Evolution diesel [liter]</t>
  </si>
  <si>
    <t xml:space="preserve">HVO 100 [liter] </t>
  </si>
  <si>
    <t>RME/FAME [liter]</t>
  </si>
  <si>
    <t>E85 [liter]</t>
  </si>
  <si>
    <t>Transporter</t>
  </si>
  <si>
    <t>Naturgas [kg]</t>
  </si>
  <si>
    <t>Fossilbränslefritt</t>
  </si>
  <si>
    <t>Biogas [kg]</t>
  </si>
  <si>
    <t>Fossilt</t>
  </si>
  <si>
    <t>El [kWh]</t>
  </si>
  <si>
    <t xml:space="preserve">EcoPar A [liter] </t>
  </si>
  <si>
    <t xml:space="preserve">EcoPar Bio [liter] </t>
  </si>
  <si>
    <t>Övrigt (ange vad!)</t>
  </si>
  <si>
    <t>Summa:</t>
  </si>
  <si>
    <t xml:space="preserve">Andel fossilbränslefritt fordonsbränsle: </t>
  </si>
  <si>
    <t>Färdmedel</t>
  </si>
  <si>
    <t xml:space="preserve">Andel fossilbränslefria kilometer: </t>
  </si>
  <si>
    <t>Emissionsfaktor, kg per kWh</t>
  </si>
  <si>
    <t>Bensin MK1</t>
  </si>
  <si>
    <t>Diesel MK1</t>
  </si>
  <si>
    <t>Diesel MK3</t>
  </si>
  <si>
    <t>FAME</t>
  </si>
  <si>
    <t>Drivmedel </t>
  </si>
  <si>
    <t>Energiinnehåll</t>
  </si>
  <si>
    <t>Ref</t>
  </si>
  <si>
    <t>b</t>
  </si>
  <si>
    <t>HVO </t>
  </si>
  <si>
    <t>Biogas </t>
  </si>
  <si>
    <t>Naturgas </t>
  </si>
  <si>
    <t>E85* </t>
  </si>
  <si>
    <t>b: Värmevärden från Energimyndighetens datalager (DW) 2017 </t>
  </si>
  <si>
    <t>[kWh/m3]</t>
  </si>
  <si>
    <t>[kWh/1000kg]</t>
  </si>
  <si>
    <t>kWh/1000kg]</t>
  </si>
  <si>
    <t xml:space="preserve"> [kWh/m3]</t>
  </si>
  <si>
    <t xml:space="preserve">Ursprunglig enhet </t>
  </si>
  <si>
    <r>
      <t xml:space="preserve">Underlagsflik - </t>
    </r>
    <r>
      <rPr>
        <sz val="24"/>
        <color rgb="FFFF0000"/>
        <rFont val="Calibri"/>
        <family val="2"/>
        <scheme val="minor"/>
      </rPr>
      <t xml:space="preserve">SKA EJ ÄNDRAS ELLER FYLLAS I </t>
    </r>
    <r>
      <rPr>
        <sz val="24"/>
        <color theme="1"/>
        <rFont val="Calibri"/>
        <family val="2"/>
        <scheme val="minor"/>
      </rPr>
      <t xml:space="preserve">- Transporter- Drivmedel </t>
    </r>
  </si>
  <si>
    <t>Ren bensin </t>
  </si>
  <si>
    <t>Ren diesel </t>
  </si>
  <si>
    <t>Ren etanol </t>
  </si>
  <si>
    <t>Fame (RME)</t>
  </si>
  <si>
    <t>Miljöfordons: Källor och referenser till tabell</t>
  </si>
  <si>
    <t>*Energivärdet för E85  beräknar vi utgående från faktiska bränslemixen föregående år.</t>
  </si>
  <si>
    <t>Sträcka i pkm el. km</t>
  </si>
  <si>
    <t>Privat bil i tjänst [pkm]</t>
  </si>
  <si>
    <t>Flyg Skåne/Kastrup -Stockholm (t/r) [pkm]</t>
  </si>
  <si>
    <t>Flyg övrigt (t/r) [pkm]</t>
  </si>
  <si>
    <t>fossilbränsle-fritt [kWh]</t>
  </si>
  <si>
    <t>Emissionsfaktor [kg CO2 ekv/kWh]</t>
  </si>
  <si>
    <t>Emissionsfakton [kg/km (pkm)]</t>
  </si>
  <si>
    <t>Utsläpp [kg CO2 ekv]</t>
  </si>
  <si>
    <t>Kommentarer/Källa - Energi per kilometer[kWh/km(pkm)]</t>
  </si>
  <si>
    <t>Andel fossilbränsle-fritt [% ]</t>
  </si>
  <si>
    <t>Kommentarer/Källa - Emissionsfaktor [kg/km (pkm)]</t>
  </si>
  <si>
    <t>Kommentarer/Källa - Andel fossilbränsle-fritt [% ]</t>
  </si>
  <si>
    <t>"SJ köper 100 % förnybar el från vatten och vind till att driva tågen, och alla resor med SJ är sedan 1994 märkta med Naturskyddsföreningens märkning Bra Miljöval". https://www.sj.se/sv/om/om-sj/hallbarhet.html, 191101</t>
  </si>
  <si>
    <t>Bensin</t>
  </si>
  <si>
    <t>Diesel</t>
  </si>
  <si>
    <t>El</t>
  </si>
  <si>
    <t>Elhybrider</t>
  </si>
  <si>
    <t>Laddhybrider</t>
  </si>
  <si>
    <t>Gas/gas    
bi-fuel</t>
  </si>
  <si>
    <t>Totalt</t>
  </si>
  <si>
    <t>Energimyndigheten - Energiläget 2015 - Siffror för 2013 för Sverige var:  41 procent vattenkraft, 43 procent kärnkraft och 7 procent vindkraft. Resterande
10 procent var förbränningsbaserad produktion som sker främst i kraftvärmeverk och inom industrin. Av dessa 10% var 74% biobränslebaserade. Alltså var 41+43+7+7 = 97% fossilbränslefri</t>
  </si>
  <si>
    <t>Kommentarer/Källa - Andel fossilbränslefritt</t>
  </si>
  <si>
    <t>Kommentarer/Källa - Emissionsfaktor CO2 g/kWh</t>
  </si>
  <si>
    <t>Kommentarer/Källa - Energiförbrukning kWh/km</t>
  </si>
  <si>
    <t>Andel fossilbränslefritt</t>
  </si>
  <si>
    <t>Medel för elhybrider från elfordon.se innan denna uppdaterades och nu saknar medelvärde. Stämmer dock bra på många elhybrid av 2017 års model på bilsvar.se</t>
  </si>
  <si>
    <t>Antas köra 30% på bensin och 70% på el</t>
  </si>
  <si>
    <t>Etanol/ etanol    flexifuel</t>
  </si>
  <si>
    <t>Emissionsfaktor CO2 g/km</t>
  </si>
  <si>
    <t>Antas köra 30% på bensin och 70% på el. För bensindrift så används elhybridsiffror då dessa återspeglar bättre genomsnittet för bensindriften (då dessa bilar ej har medelålder på 17 år)</t>
  </si>
  <si>
    <t>Se tabell nedan</t>
  </si>
  <si>
    <t>konvertering från MJ till kWh</t>
  </si>
  <si>
    <t>Energi per personkilometer [kWh/pkm]</t>
  </si>
  <si>
    <t>Genomsnitt continental och intercontinental - dvs det vi kallar "Flyg - Övrigt"</t>
  </si>
  <si>
    <t>Energianvändning kWh/km</t>
  </si>
  <si>
    <t>Sätts till 0 då "SJ köper 100 % förnybar el från vatten och vind till att driva tågen, och alla resor med SJ är sedan 1994 märkta med Naturskyddsföreningens märkning Bra Miljöval". https://www.sj.se/sv/om/om-sj/hallbarhet.html, 191101</t>
  </si>
  <si>
    <t>Genomsnitt</t>
  </si>
  <si>
    <t>Bränsleförbrukning 2017, l/100km</t>
  </si>
  <si>
    <t>Personbil</t>
  </si>
  <si>
    <t>Lätt lastbil</t>
  </si>
  <si>
    <t>Landsvägsbuss</t>
  </si>
  <si>
    <t>Stadsbuss</t>
  </si>
  <si>
    <t>Lastbil utan släp</t>
  </si>
  <si>
    <t>Lastbil med släp</t>
  </si>
  <si>
    <t>Motorcykel</t>
  </si>
  <si>
    <t>Moped</t>
  </si>
  <si>
    <t>Name</t>
  </si>
  <si>
    <t>Sign</t>
  </si>
  <si>
    <t>Measure area</t>
  </si>
  <si>
    <t>Date</t>
  </si>
  <si>
    <t>Year</t>
  </si>
  <si>
    <t>Value</t>
  </si>
  <si>
    <t>Källa (Taxibilar):  Svenska Taxiförbundets - Energimyndigheten - Miljöfordon.se - Bilsvar.se</t>
  </si>
  <si>
    <t>I vår enhet [kWh/l]</t>
  </si>
  <si>
    <t>Medel (l/100km)</t>
  </si>
  <si>
    <t>Medel (kWh/km)</t>
  </si>
  <si>
    <r>
      <t xml:space="preserve">Underlagsflik - </t>
    </r>
    <r>
      <rPr>
        <sz val="24"/>
        <color rgb="FFFF0000"/>
        <rFont val="Calibri"/>
        <family val="2"/>
        <scheme val="minor"/>
      </rPr>
      <t xml:space="preserve">SKA EJ ÄNDRAS ELLER FYLLAS I </t>
    </r>
    <r>
      <rPr>
        <sz val="24"/>
        <color theme="1"/>
        <rFont val="Calibri"/>
        <family val="2"/>
        <scheme val="minor"/>
      </rPr>
      <t>- Transporter- Övriga resor</t>
    </r>
  </si>
  <si>
    <t>Gul = Direkt underlag till oranga värden</t>
  </si>
  <si>
    <t xml:space="preserve">Källa (Energiandel): Energimyndigheten </t>
  </si>
  <si>
    <t xml:space="preserve">Källa (Emissionsfaktor): Energimyndigheten </t>
  </si>
  <si>
    <t>EM beräkn Genomsnitt 2010-2015</t>
  </si>
  <si>
    <r>
      <rPr>
        <b/>
        <sz val="16"/>
        <rFont val="Calibri"/>
        <family val="2"/>
        <scheme val="minor"/>
      </rPr>
      <t xml:space="preserve">Drivmedel </t>
    </r>
    <r>
      <rPr>
        <b/>
        <sz val="11"/>
        <rFont val="Calibri"/>
        <family val="2"/>
        <scheme val="minor"/>
      </rPr>
      <t>- Samtliga växthusgasutsläpp i ett livscykelperspektiv. Odling/utvinning, förädling, transport, användning/förbränning (Förnyb≠0)</t>
    </r>
  </si>
  <si>
    <t>Emissionsfaktor, kg per liter</t>
  </si>
  <si>
    <t>Emissionsfaktor,gCO2eq/MJ</t>
  </si>
  <si>
    <t xml:space="preserve">EU beräkn Genomsnitt </t>
  </si>
  <si>
    <t xml:space="preserve">El </t>
  </si>
  <si>
    <t>Kommunernas rapporteringar</t>
  </si>
  <si>
    <t xml:space="preserve">Andel fossilbränslefria kWh(energi): </t>
  </si>
  <si>
    <t>fossilbränsle-fritt [km/pkm]</t>
  </si>
  <si>
    <t>Vilken elanvändning inkluderas i inventeringen? (Vilka förvaltningar, verksamheter och bolag ingår och vilka ingår inte?)</t>
  </si>
  <si>
    <t>Vilken uppvärmningsenergi ingår i inventeringen? (Vilka förvaltningar, verksamheter och bolag ingår och vilka ingår inte?)</t>
  </si>
  <si>
    <t>Vilka köpta drivmedel ingår i inventeringen? (Steg 1)  (Vilka förvaltningar, verksamheter och bolag ingår och vilka ingår inte?)</t>
  </si>
  <si>
    <t>All elanvändning (även gatubelysning, VA-verksamhet o dyl.)</t>
  </si>
  <si>
    <t>Typ av el</t>
  </si>
  <si>
    <t>Kilowattimmar [kWh]</t>
  </si>
  <si>
    <t>Fossilbränslefri andel [%]</t>
  </si>
  <si>
    <t>Fossilbränslefri elanvändning [kWh]</t>
  </si>
  <si>
    <t>Ursprungsmärkt el från förnybara källor</t>
  </si>
  <si>
    <t xml:space="preserve">Fossilt </t>
  </si>
  <si>
    <t>Andel fossilbränslefritt [%]</t>
  </si>
  <si>
    <t>Miljömärkt el enligt Bra Miljöval</t>
  </si>
  <si>
    <t xml:space="preserve">Egenproducerad el från tex. solceller, vind eller annat </t>
  </si>
  <si>
    <t xml:space="preserve">El utan känt ursprung. "Nordisk residualmix" </t>
  </si>
  <si>
    <t>Annan el enligt särskilt avtal (ange % fossilfritt)</t>
  </si>
  <si>
    <t>Total</t>
  </si>
  <si>
    <t xml:space="preserve">Summa: </t>
  </si>
  <si>
    <t xml:space="preserve">Andel fossilbränslefri el: </t>
  </si>
  <si>
    <t>Typ av uppvärmning</t>
  </si>
  <si>
    <t>Fossilbränslefri uppvärmning [kWh]</t>
  </si>
  <si>
    <t>Olja</t>
  </si>
  <si>
    <t>Fjärrvärme</t>
  </si>
  <si>
    <t>Naturgas</t>
  </si>
  <si>
    <t>Biogas</t>
  </si>
  <si>
    <t>Bioolja</t>
  </si>
  <si>
    <t>Biobränsle</t>
  </si>
  <si>
    <t>Solfångare</t>
  </si>
  <si>
    <t xml:space="preserve">Andel fossilbränslefri uppvärmning (exkl. el): </t>
  </si>
  <si>
    <t>Uppvärmning:</t>
  </si>
  <si>
    <t>Kommunägda</t>
  </si>
  <si>
    <t>bara el</t>
  </si>
  <si>
    <t>HFAB (olja)</t>
  </si>
  <si>
    <t>kWh</t>
  </si>
  <si>
    <t>HFAB (fjv)</t>
  </si>
  <si>
    <t>HFAB (pellets)</t>
  </si>
  <si>
    <t>VA (gas)</t>
  </si>
  <si>
    <t>Va (olja)</t>
  </si>
  <si>
    <t>EL</t>
  </si>
  <si>
    <t>El total kommunägda fastigheter</t>
  </si>
  <si>
    <t>El HFAB</t>
  </si>
  <si>
    <t>El VA</t>
  </si>
  <si>
    <t>El gatubelysning</t>
  </si>
  <si>
    <t>saknas för 2013</t>
  </si>
  <si>
    <t>Emissionsfaktor [kg/km (pkm)]</t>
  </si>
  <si>
    <r>
      <t xml:space="preserve">Underlagsflik - </t>
    </r>
    <r>
      <rPr>
        <sz val="24"/>
        <color rgb="FFFF0000"/>
        <rFont val="Calibri"/>
        <family val="2"/>
        <scheme val="minor"/>
      </rPr>
      <t xml:space="preserve">SKA EJ ÄNDRAS ELLER FYLLAS I </t>
    </r>
    <r>
      <rPr>
        <sz val="24"/>
        <color theme="1"/>
        <rFont val="Calibri"/>
        <family val="2"/>
        <scheme val="minor"/>
      </rPr>
      <t>- El och Uppvärmning</t>
    </r>
  </si>
  <si>
    <r>
      <t xml:space="preserve">ALLA nästkomande Röda underlagsflikar - </t>
    </r>
    <r>
      <rPr>
        <sz val="24"/>
        <color rgb="FFFF0000"/>
        <rFont val="Calibri"/>
        <family val="2"/>
        <scheme val="minor"/>
      </rPr>
      <t xml:space="preserve">SKA EJ ÄNDRAS ELLER FYLLAS I </t>
    </r>
  </si>
  <si>
    <t>Röda underlagsflikar</t>
  </si>
  <si>
    <t>SKA EJ ÄNDRAS ELLER FYLLAS I</t>
  </si>
  <si>
    <t xml:space="preserve">Emissionsfaktor, kg/MWh eller g/kWh </t>
  </si>
  <si>
    <t>Elanvändning: Gröna elavtal/ursprungsmärkt el / Bra miljövals el anses här ha noll CO2-utsläpp.</t>
  </si>
  <si>
    <t>El från dieseldrivet reservaggregat</t>
  </si>
  <si>
    <t>Kommentarer/Källa - Emissionsfaktor</t>
  </si>
  <si>
    <t>Antas vara diesel utan inblandning</t>
  </si>
  <si>
    <r>
      <t>Uppvärmning</t>
    </r>
    <r>
      <rPr>
        <b/>
        <sz val="11"/>
        <rFont val="Calibri"/>
        <family val="2"/>
        <scheme val="minor"/>
      </rPr>
      <t xml:space="preserve"> (endast fossila växthusgasutsläpp vid förbränning/användning)</t>
    </r>
  </si>
  <si>
    <t>Fjärrkyla</t>
  </si>
  <si>
    <t>RME</t>
  </si>
  <si>
    <t>Gör ni egna beräkningar gör det i egna dokument eller egna flikar</t>
  </si>
  <si>
    <t xml:space="preserve">Under kategorien uppvärmning har vi endast räknat på fossila CO2 emissioner som uppkomer vid förbränning av fossila bränslen. CO2-utsläpp från andra förnybara energislag (och som inte ingår i fjärrvärmen) som tex. biogas, biobränsle har inte inkluderats då dessa har biogent ursprung.  Samma pincip som i miljöledningsförordningen (2009:907). </t>
  </si>
  <si>
    <t xml:space="preserve">Har angets ha producerat m.h.a 100% förnybar energi. Under kategorien uppvärmning har vi endast räknat på fossila CO2 emissioner som uppkomer vid förbränning av fossila bränslen. CO2-utsläpp från andra förnybara energislag (och som inte ingår i fjärrvärmen) som tex. biogas, biobränsle har inte inkluderats då dessa har biogent ursprung. Efter att det är konstaterats 100% förnybart är det samma pincip som i miljöledningsförordningen (2009:907). </t>
  </si>
  <si>
    <t xml:space="preserve">Under kategorien uppvärmning har vi endast räknat på fossila CO2 emissioner som uppkomer vid förbränning av fossila bränslen. CO2-utsläpp från andra förnybara energislag (och som inte ingår i fjärrvärmen) som tex. biogas, biobränsle har inte inkluderats då dessa har biogent ursprung. Samma pincip som i miljöledningsförordningen (2009:907). </t>
  </si>
  <si>
    <t>Summa</t>
  </si>
  <si>
    <t>Fossilfri energianvändning Skåne</t>
  </si>
  <si>
    <t>Fossil energianvändning Skåne</t>
  </si>
  <si>
    <t>Andel fossilfri eneranvänding i personbilar i Skåne</t>
  </si>
  <si>
    <t>ALTERNATIV BERÄKNING FOSSILT PRIVAT BIL I TJÄNST:</t>
  </si>
  <si>
    <t>Färja</t>
  </si>
  <si>
    <t>Antas (grovt uppskattat) drivas på genomsnitt 5 % HVO enligt s.28 i https://www.naturvardsverket.se/Documents/publikationer6400/978-91-620-6875-2.pdf?pid=24127</t>
  </si>
  <si>
    <t>Andel fossilbränslefritt i drivmedlet</t>
  </si>
  <si>
    <t xml:space="preserve"> Energimyndigheten, Drivmedel 2019 ER 2020:6, sidan 21</t>
  </si>
  <si>
    <t>Drivmedelstyp</t>
  </si>
  <si>
    <t>Antas vara samma som bensin</t>
  </si>
  <si>
    <t>Mejl från SJ 2020-11-24 miljo@sj.se ("fjärrtåg och regionaltåg")</t>
  </si>
  <si>
    <t>Cirkel K Miles Diesel Bio [liter]</t>
  </si>
  <si>
    <t xml:space="preserve">Färdtjänst &amp; skolskjuts: andel fossilbränslefria km </t>
  </si>
  <si>
    <t>Färdtjänst &amp; skolskjuts: andel fossilbränslefria kWh(energi)</t>
  </si>
  <si>
    <t>OKQ8 GoEasy diesel [liter]</t>
  </si>
  <si>
    <t>Uppvärmning</t>
  </si>
  <si>
    <t>Transporter- Tjänsteresor kWh</t>
  </si>
  <si>
    <t>Transporter - Tjänsteresor km</t>
  </si>
  <si>
    <t>Fossilbränslefri el</t>
  </si>
  <si>
    <t>Fossil el</t>
  </si>
  <si>
    <t>Fossilbränslefri uppvärmning</t>
  </si>
  <si>
    <t>Fossil uppvärmning</t>
  </si>
  <si>
    <t>Använder genomsnitt 3 år för bl.a. hyrbilar</t>
  </si>
  <si>
    <t>Båt/Färja [pkm]</t>
  </si>
  <si>
    <t>KÄLLHÄNVISNING: för energiinnehåll, andel fossilbränslefritt, emissionsvärden SE FLIKAR: Underlag-Transport-Drivmedel samt ÖvrigaRes</t>
  </si>
  <si>
    <t>Kommentarer/Källa - Antal fordon i Sverige</t>
  </si>
  <si>
    <t xml:space="preserve">Svenska Taxiförbundet: Branschläget 2020, s.18. https://www.taxiforbundet.se/wp-content/uploads/2020/05/SvTF_branschlaget_2020.pdf </t>
  </si>
  <si>
    <t>Antal taxifordon i Sverige per drivmedel 2019</t>
  </si>
  <si>
    <t>Procentandel per drivmedel av personbilsflottan</t>
  </si>
  <si>
    <t>"(2019) utgör cirka 92 procent taxifordon med registreringsdatum 2014 och senare" Svenska Taxiförbundets Branschlägesrapport 2020 sid 17, https://www.taxiforbundet.se/om-oss/branschlaget/ . Använt en schablon från en Volkswagen Golf av 2017 års modell på bilsvar.se</t>
  </si>
  <si>
    <t>Det saknas tillförlitlig data för att kvantifiera den fossilfria andelen. Det pågår vissa initiativ för fossilbränslefria alternativ men det motsvara bara någon promilla av totala flygbränsleanvändningen. Sätt därför till 100% fossilt. Kommunerna kan ändra om de har särskilda avtal</t>
  </si>
  <si>
    <r>
      <t xml:space="preserve">Färdtjänst </t>
    </r>
    <r>
      <rPr>
        <vertAlign val="superscript"/>
        <sz val="10"/>
        <rFont val="Calibri"/>
        <family val="2"/>
        <scheme val="minor"/>
      </rPr>
      <t>2</t>
    </r>
    <r>
      <rPr>
        <sz val="10"/>
        <rFont val="Calibri"/>
        <family val="2"/>
        <scheme val="minor"/>
      </rPr>
      <t xml:space="preserve"> [km]</t>
    </r>
  </si>
  <si>
    <r>
      <t xml:space="preserve">Skolskjuts </t>
    </r>
    <r>
      <rPr>
        <vertAlign val="superscript"/>
        <sz val="10"/>
        <rFont val="Calibri"/>
        <family val="2"/>
        <scheme val="minor"/>
      </rPr>
      <t>2</t>
    </r>
    <r>
      <rPr>
        <sz val="10"/>
        <rFont val="Calibri"/>
        <family val="2"/>
        <scheme val="minor"/>
      </rPr>
      <t xml:space="preserve"> [km]</t>
    </r>
  </si>
  <si>
    <t>fossilbränslefritt [kWh]</t>
  </si>
  <si>
    <t>fossilbränslefritt [km/pkm]</t>
  </si>
  <si>
    <t>KÄLLHÄNVISNING: för energiinnehåll, andel fossilbränslefritt, emissionsvärden SE FLIK: Underlag-El o Uppv</t>
  </si>
  <si>
    <t xml:space="preserve">E85 </t>
  </si>
  <si>
    <t>FAME 100</t>
  </si>
  <si>
    <t>HVO 100</t>
  </si>
  <si>
    <t>Drivmedel</t>
  </si>
  <si>
    <t xml:space="preserve">Källa (Flygresor): Transportmeasures.org </t>
  </si>
  <si>
    <r>
      <rPr>
        <b/>
        <sz val="14"/>
        <rFont val="Calibri"/>
        <family val="2"/>
        <scheme val="minor"/>
      </rPr>
      <t>Källa: Miljöfordon - Energiinnehåll</t>
    </r>
    <r>
      <rPr>
        <b/>
        <sz val="14"/>
        <color theme="4"/>
        <rFont val="Calibri"/>
        <family val="2"/>
        <scheme val="minor"/>
      </rPr>
      <t xml:space="preserve"> </t>
    </r>
  </si>
  <si>
    <t>OKQ8 Go Easy bensin[liter]</t>
  </si>
  <si>
    <t>Steg 2: Tjänsteresor</t>
  </si>
  <si>
    <r>
      <t>Tåg</t>
    </r>
    <r>
      <rPr>
        <vertAlign val="superscript"/>
        <sz val="11"/>
        <rFont val="Calibri"/>
        <family val="2"/>
        <scheme val="minor"/>
      </rPr>
      <t>1</t>
    </r>
    <r>
      <rPr>
        <sz val="11"/>
        <rFont val="Calibri"/>
        <family val="2"/>
        <scheme val="minor"/>
      </rPr>
      <t xml:space="preserve"> [pkm]</t>
    </r>
  </si>
  <si>
    <r>
      <t>Kollektivtrafik Skånetrafiken</t>
    </r>
    <r>
      <rPr>
        <vertAlign val="superscript"/>
        <sz val="11"/>
        <rFont val="Calibri"/>
        <family val="2"/>
        <scheme val="minor"/>
      </rPr>
      <t>2</t>
    </r>
    <r>
      <rPr>
        <sz val="11"/>
        <rFont val="Calibri"/>
        <family val="2"/>
        <scheme val="minor"/>
      </rPr>
      <t xml:space="preserve"> [pkm]</t>
    </r>
  </si>
  <si>
    <r>
      <t>Hyrbil</t>
    </r>
    <r>
      <rPr>
        <vertAlign val="superscript"/>
        <sz val="11"/>
        <rFont val="Calibri"/>
        <family val="2"/>
        <scheme val="minor"/>
      </rPr>
      <t>2</t>
    </r>
    <r>
      <rPr>
        <sz val="11"/>
        <rFont val="Calibri"/>
        <family val="2"/>
        <scheme val="minor"/>
      </rPr>
      <t xml:space="preserve"> [pkm]</t>
    </r>
  </si>
  <si>
    <r>
      <t>Taxi</t>
    </r>
    <r>
      <rPr>
        <vertAlign val="superscript"/>
        <sz val="11"/>
        <rFont val="Calibri"/>
        <family val="2"/>
        <scheme val="minor"/>
      </rPr>
      <t>2</t>
    </r>
    <r>
      <rPr>
        <sz val="11"/>
        <rFont val="Calibri"/>
        <family val="2"/>
        <scheme val="minor"/>
      </rPr>
      <t xml:space="preserve"> [pkm]</t>
    </r>
  </si>
  <si>
    <r>
      <rPr>
        <vertAlign val="superscript"/>
        <sz val="8"/>
        <rFont val="Calibri"/>
        <family val="2"/>
        <scheme val="minor"/>
      </rPr>
      <t>1.</t>
    </r>
    <r>
      <rPr>
        <sz val="8"/>
        <rFont val="Calibri"/>
        <family val="2"/>
        <scheme val="minor"/>
      </rPr>
      <t xml:space="preserve"> Tåg avser tågresor utanför Skåne (SJ mfl.)</t>
    </r>
  </si>
  <si>
    <r>
      <rPr>
        <vertAlign val="superscript"/>
        <sz val="8"/>
        <rFont val="Calibri"/>
        <family val="2"/>
        <scheme val="minor"/>
      </rPr>
      <t>2.</t>
    </r>
    <r>
      <rPr>
        <sz val="8"/>
        <rFont val="Calibri"/>
        <family val="2"/>
        <scheme val="minor"/>
      </rPr>
      <t xml:space="preserve"> Om dessa uppgifter ej finns tillgängliga - ange ungefärliga värden</t>
    </r>
  </si>
  <si>
    <r>
      <rPr>
        <b/>
        <sz val="16"/>
        <rFont val="Calibri"/>
        <family val="2"/>
        <scheme val="minor"/>
      </rPr>
      <t xml:space="preserve">El </t>
    </r>
    <r>
      <rPr>
        <b/>
        <sz val="11"/>
        <rFont val="Calibri"/>
        <family val="2"/>
        <scheme val="minor"/>
      </rPr>
      <t>(endast fossila växthusgasutsläpp vid produktion/användning)</t>
    </r>
  </si>
  <si>
    <t>http://www.energimyndigheten.se/fornybart/hallbarhetskriterier/drivmedelslagen/vaxthusgasutslapp/ (Datum 20-12-07)</t>
  </si>
  <si>
    <t>Enligt EM: http://www.energimyndigheten.se/fornybart/hallbarhetskriterier/drivmedelslagen/vaxthusgasutslapp/ Se Energimyndighetens rapport för antaganden</t>
  </si>
  <si>
    <t>Enligt EM: http://www.energimyndigheten.se/fornybart/hallbarhetskriterier/drivmedelslagen/vaxthusgasutslapp/ Normalvärde för Naturgas EU-mix CNG är 69,3 gCO2eq/MJ enligt Normalvärden för fossila komponenter enligt tilläggsdirektiv 2015/652.</t>
  </si>
  <si>
    <r>
      <t>Båt/Färja</t>
    </r>
    <r>
      <rPr>
        <vertAlign val="superscript"/>
        <sz val="11"/>
        <rFont val="Calibri"/>
        <family val="2"/>
        <scheme val="minor"/>
      </rPr>
      <t>2</t>
    </r>
    <r>
      <rPr>
        <sz val="11"/>
        <rFont val="Calibri"/>
        <family val="2"/>
        <scheme val="minor"/>
      </rPr>
      <t xml:space="preserve"> [pkm]</t>
    </r>
  </si>
  <si>
    <r>
      <t>Kommentarer/Källa - Antal fordon i</t>
    </r>
    <r>
      <rPr>
        <sz val="11"/>
        <color theme="4"/>
        <rFont val="Calibri"/>
        <family val="2"/>
        <scheme val="minor"/>
      </rPr>
      <t xml:space="preserve"> </t>
    </r>
    <r>
      <rPr>
        <sz val="11"/>
        <rFont val="Calibri"/>
        <family val="2"/>
        <scheme val="minor"/>
      </rPr>
      <t>Skåne</t>
    </r>
  </si>
  <si>
    <t>Genomsnitt personbil Skåne</t>
  </si>
  <si>
    <t>Procentandel per drivmedel av taxibilsflottan</t>
  </si>
  <si>
    <t>Genomsnittsbil taxi Sverige</t>
  </si>
  <si>
    <t>Etanol/ etanol flexifuel</t>
  </si>
  <si>
    <t>Transporter- Övriga (kWh)</t>
  </si>
  <si>
    <r>
      <rPr>
        <b/>
        <sz val="12"/>
        <color theme="1"/>
        <rFont val="Calibri"/>
        <family val="2"/>
        <scheme val="minor"/>
      </rPr>
      <t>Instruktion</t>
    </r>
    <r>
      <rPr>
        <sz val="11"/>
        <color theme="1"/>
        <rFont val="Calibri"/>
        <family val="2"/>
        <scheme val="minor"/>
      </rPr>
      <t xml:space="preserve">
De gröna rutorna fylls i av användaren. Det gäller energimängder [kWh], bränslemängder [liter, kg] eller körda kilometer [km]. I vissa fall behöver användaren också fylla en procentandel för fossilbränslefri andel och emissionsfaktor. Diagrammen uppdateras automatiskt när de gröna rutorna är ifyllda.
</t>
    </r>
    <r>
      <rPr>
        <b/>
        <sz val="11"/>
        <color theme="1"/>
        <rFont val="Calibri"/>
        <family val="2"/>
        <scheme val="minor"/>
      </rPr>
      <t xml:space="preserve">Frågor? Kontakta: 
Johannes Elamzon 010-2241562, johannes.elamzon@lansstyrelsen.se
 </t>
    </r>
  </si>
  <si>
    <t>Alla 7 kommuners elleverantörer</t>
  </si>
  <si>
    <t>Samtliga ERUF kommuner har angett Gröna elavtal/ursprungsmärkt el / Bra miljövals el anses här ha noll CO2-utsläpp.</t>
  </si>
  <si>
    <t>Diesel 70% förnybar</t>
  </si>
  <si>
    <t xml:space="preserve">Egna beräkningar </t>
  </si>
  <si>
    <t>30% bulkdiesel 63% HVO 7% RME</t>
  </si>
  <si>
    <t>Antas samma som dieselbilar ovan</t>
  </si>
  <si>
    <t>Använder klimatprestanda från 30% bulkdiesel 63% HVO 7% RME, se länkning</t>
  </si>
  <si>
    <t>Skånegenomsnitt (personbil) -  Se tabell nedan</t>
  </si>
  <si>
    <t>Bara ett antagande</t>
  </si>
  <si>
    <t>Använder klimatprestanda HVO, länkning</t>
  </si>
  <si>
    <t>Använder klimatprestanda Biogas, länkning</t>
  </si>
  <si>
    <t>Om de kör 100% på biogas</t>
  </si>
  <si>
    <t>Antar att det är samma genomsnitt som för Skånetrafiken</t>
  </si>
  <si>
    <t>Schabloner för andra typer av transporter (använd ej direkt i mallen)</t>
  </si>
  <si>
    <r>
      <rPr>
        <b/>
        <sz val="11"/>
        <color theme="1"/>
        <rFont val="Calibri"/>
        <family val="2"/>
        <scheme val="minor"/>
      </rPr>
      <t>Instruktion</t>
    </r>
    <r>
      <rPr>
        <sz val="11"/>
        <color theme="1"/>
        <rFont val="Calibri"/>
        <family val="2"/>
        <scheme val="minor"/>
      </rPr>
      <t xml:space="preserve">
Ange vilka avgränsningar som gäller för inventeringen. I första hand gäller detta vilka förvaltningar, verksamheter och bolag som ingår i inventerigen, och vilka som inte ingår. Det kan t.ex. gälla förtydliganden angående vilka hyrda lokaler som ingår etc. Det kan även handla om att man har fått statistik för vissa upphandlade bolag för transporttjänster. 
</t>
    </r>
    <r>
      <rPr>
        <b/>
        <sz val="11"/>
        <color theme="1"/>
        <rFont val="Calibri"/>
        <family val="2"/>
        <scheme val="minor"/>
      </rPr>
      <t xml:space="preserve">
Frågor? Kontakta: 
Johannes Elamzon 010-2241562, johannes.elamzon@lansstyrelsen.se
</t>
    </r>
    <r>
      <rPr>
        <sz val="11"/>
        <color theme="1"/>
        <rFont val="Calibri"/>
        <family val="2"/>
        <scheme val="minor"/>
      </rPr>
      <t>Vägledning till ifyllning finns på www.kfsk.se/fbf.
Där finns även ett statistik PM</t>
    </r>
    <r>
      <rPr>
        <b/>
        <sz val="11"/>
        <color theme="1"/>
        <rFont val="Calibri"/>
        <family val="2"/>
        <scheme val="minor"/>
      </rPr>
      <t xml:space="preserve">.
 </t>
    </r>
  </si>
  <si>
    <t>År 2021</t>
  </si>
  <si>
    <t>Leverantör av data</t>
  </si>
  <si>
    <t>Kommentarer/Källa - Energiinnehåll [kWh/enhet]</t>
  </si>
  <si>
    <t>Kommentarer/Källa - Emissionsfaktor, kg per kWh</t>
  </si>
  <si>
    <t>Kommentarer/Källa - Andel fossilbränsle-fritt [% energi]</t>
  </si>
  <si>
    <t>OKQ8 Rapport Hållbara drivmedel 2020-21, https://www.okq8.se/~/media/dokument-pa-stationen/okq8_ha%CC%8Allbara_drivmedel-2020_2021.pdf?la=sv-se, Hämtat 2021-10-20, Använt medelvärde för 2020 som är 32,2 MJ/l</t>
  </si>
  <si>
    <t>OKQ8 Miljöinformation drivmedel - Bild från hemsida: https://www.okq8.se/pa-stationen/drivmedel/hallbara-drivmedel/ Hämtat 2021-10-20</t>
  </si>
  <si>
    <t>OKQ8</t>
  </si>
  <si>
    <t>OKQ8 GoEasy diesel Extra [liter]</t>
  </si>
  <si>
    <t>Preem</t>
  </si>
  <si>
    <t>Cirkel K</t>
  </si>
  <si>
    <t>Cirkle K Miljöinformation drivmedel - Från hemsida:https://www.circlek.se/drivmedel/miljoinfo Hämtat 2021-10-20</t>
  </si>
  <si>
    <t>Energimyndigheten</t>
  </si>
  <si>
    <t>Samtliga ERUF kommuner har angett el till drivmedelanvändning har Gröna elavtal/ursprungsmärkt el / Bra miljövals el med 100% förnybar el</t>
  </si>
  <si>
    <t>Fordon och drivmedel</t>
  </si>
  <si>
    <t>Antal</t>
  </si>
  <si>
    <t>Personbil - bensin [st]</t>
  </si>
  <si>
    <t>Personbil - diesel [st]</t>
  </si>
  <si>
    <t>Personbil - fordonsgas  [st]</t>
  </si>
  <si>
    <t>Personbil - etanol  [st]</t>
  </si>
  <si>
    <t>Personbil - diesel (Drivs 100% på HVO)  [st]</t>
  </si>
  <si>
    <t>Personbil - bränslecell (drivs på grön vätgas) [st]</t>
  </si>
  <si>
    <t>Personbil - el [st]</t>
  </si>
  <si>
    <t>Lätt lastbil - bensin [st]</t>
  </si>
  <si>
    <t>Lätt lastbil - diesel [st]</t>
  </si>
  <si>
    <t>Lätt lastbil - diesel (Drivs 100% på HVO)  [st]</t>
  </si>
  <si>
    <t>Lätt lastbil - el [st]</t>
  </si>
  <si>
    <t>Lätt lastbil - fordonsgas  [st]</t>
  </si>
  <si>
    <t>Lätt lastbil - etanol  [st]</t>
  </si>
  <si>
    <t>Lätt lastbil - bränslecell (drivs på grön vätgas) [st]</t>
  </si>
  <si>
    <t>KÄLLHÄNVISNING: Bygger på den indelning som Miljöfordon Sverige använder http://miljofordonsverige.se/statistik/</t>
  </si>
  <si>
    <t>Nej</t>
  </si>
  <si>
    <t>Ja</t>
  </si>
  <si>
    <t xml:space="preserve">Summa primärt fossilfria </t>
  </si>
  <si>
    <t>Fordon</t>
  </si>
  <si>
    <t xml:space="preserve">Räknas som primärt fossilfritt? </t>
  </si>
  <si>
    <t>Summa primärt fossilt</t>
  </si>
  <si>
    <t>Vilka fossilbränslefria personbilar och lätta lastbilar ingår i inventeringen? (Steg 4)   (Vilka förvaltningar, verksamheter och bolag ingår och vilka ingår inte?)</t>
  </si>
  <si>
    <r>
      <t xml:space="preserve">Källa: Miljöfordon, https://www.miljofordon.se/bilar/miljoepaaverkan/, </t>
    </r>
    <r>
      <rPr>
        <sz val="11"/>
        <color theme="4"/>
        <rFont val="Calibri"/>
        <family val="2"/>
        <scheme val="minor"/>
      </rPr>
      <t>2021-10-27</t>
    </r>
  </si>
  <si>
    <t xml:space="preserve"> Miljöfordon, se länkning</t>
  </si>
  <si>
    <t>Enligt Energimyndigheten: http://www.energimyndigheten.se/fornybart/hallbarhetskriterier/drivmedelslagen/vaxthusgasutslapp/ hämtat 2021-10-28. Normalvärde för Naturgas EU-mix CNG är 69,3 gCO2eq/MJ enligt Normalvärden för fossila komponenter enligt tilläggsdirektiv 2015/652.</t>
  </si>
  <si>
    <t>Enligt Energimyndighetem: http://www.energimyndigheten.se/fornybart/hallbarhetskriterier/drivmedelslagen/vaxthusgasutslapp/ Se Energimyndighetens rapport för antaganden</t>
  </si>
  <si>
    <t>EcoPar + Energimyndigheten</t>
  </si>
  <si>
    <t>Energimyndigheten - Vägledning reduktionsplikt för
bensin och dieselbränsle 2018:21,   Växthus = 95,1 gCO2ekv/MJ. Rapport hämtad från: https://energimyndigheten.a-w2m.se/Home.mvc?ResourceId=5752</t>
  </si>
  <si>
    <t>Energimyndigheten - Vägledning reduktionsplikt för
bensin och dieselbränsle 2018:21, Energiinnehåll 35,3 Mj/liter . Rapport hämtad från: https://energimyndigheten.a-w2m.se/Home.mvc?ResourceId=5752</t>
  </si>
  <si>
    <t>Inget förnybart innehåll</t>
  </si>
  <si>
    <t>Energimyndigheten - Värmevärden från Energimyndighetens datalager (DW) 2017. Värde: 9,56 MWh/m3. https://www.energimyndigheten.se/globalassets/statistik/branslen/varmevarden-och-emissionsfaktorer/varmevarden_2017.xlsx</t>
  </si>
  <si>
    <t>Energimyndigheten - Värmevärden från Energimyndighetens datalager (DW) 2017.Värde: 9,56 MWh/m3. https://www.energimyndigheten.se/globalassets/statistik/branslen/varmevarden-och-emissionsfaktorer/varmevarden_2017.xlsx</t>
  </si>
  <si>
    <t xml:space="preserve"> Emissioner antas ha samma utlsäppsvärde som HVO då det är 100% HVO enligt produktinformation.  Se Energimyndighetens siffror för HVO för aktuellt år</t>
  </si>
  <si>
    <t>Andel förnybar 100% enligt produktblad från Ecopar.se</t>
  </si>
  <si>
    <t>Preem - Epost - 2021-10-29  - productmgmt@preem.se; (Daniel Granquist &amp; Mikaela Lindström)</t>
  </si>
  <si>
    <t>Preem ACP Diesel med RME [liter]</t>
  </si>
  <si>
    <t xml:space="preserve"> Preem - Epost - 2021-10-29  - productmgmt@preem.se; (Daniel Granquist &amp; Mikaela Lindström). </t>
  </si>
  <si>
    <t xml:space="preserve">Preem - Epost - 2021-10-29  - productmgmt@preem.se; (Daniel Granquist &amp; Mikaela Lindström). </t>
  </si>
  <si>
    <t>Preem ACP Diesel utan RME [liter]</t>
  </si>
  <si>
    <t>Svenska Taxiförbundet - Rapport:  Branschläget 2021, s.15. https://www.taxiforbundet.se/politik/rapporter/</t>
  </si>
  <si>
    <t>Svenska Taxiförbundet - Rapport:  Branschläget 2021, s.15. https://www.taxiforbundet.se/politik/rapporter/ . Utifrån statistiken har  en typbil valts för för det vanligaste bilmärket och årsmodell. Vald siffra baserat på  en bensinbil från Toyota 2019 från bilsvar.se</t>
  </si>
  <si>
    <t>Svenska Taxiförbundet - Rapport:  Branschläget 2021, s.15. https://www.taxiforbundet.se/politik/rapporter/ . Utifrån statistiken har  en typbil valts för för det vanligaste bilmärket och årsmodell. Använt en schablon från en Toyota elhybrid av 2017 års model på bilsvar.se</t>
  </si>
  <si>
    <t>Svenska Taxiförbundet - Rapport:  Branschläget 2021, s.15. https://www.taxiforbundet.se/politik/rapporter/ . Utifrån statistiken har  en typbil valts för för det vanligaste bilmärket och årsmodell. Använt en schablon från en el från Tesla 2019 från miljofordon.se</t>
  </si>
  <si>
    <t>Laddhybrid diesel</t>
  </si>
  <si>
    <t>Elhybrid bensin</t>
  </si>
  <si>
    <t>Antas köra 50% på diesel och 50% på el</t>
  </si>
  <si>
    <t>Svenska Taxiförbundet - Rapport:  Branschläget 2021, s.15. https://www.taxiforbundet.se/politik/rapporter/ . Utifrån statistiken har  en typbil valts för för det vanligaste bilmärket och årsmodell. Vald siffra baserat på  en laddhybrid fråm Merzedes årsmodel 2019 från bilsvar.se</t>
  </si>
  <si>
    <t>Svenska Taxiförbundet - Rapport:  Branschläget 2021, s.15. https://www.taxiforbundet.se/politik/rapporter/ . Utifrån statistiken har  en typbil valts för för det vanligaste bilmärket och årsmodell. Vald emission baserat på  en laddhybrid fråm Merzedes årsmodel 2019 från bilsvar.se</t>
  </si>
  <si>
    <t>Svenska Taxiförbundet - Rapport:  Branschläget 2021, s.15. https://www.taxiforbundet.se/politik/rapporter/ . Utifrån statistiken har  en typbil valts för för det vanligaste bilmärket och årsmodell. . Använt en schablon från en Volvo V70 etanol av 2015 års model på bilsvar.se</t>
  </si>
  <si>
    <t>Svenska Taxiförbundet - Rapport:  Branschläget 2021, s.15. https://www.taxiforbundet.se/politik/rapporter/ . Utifrån statistiken har  en typbil valts för för det vanligaste bilmärket och årsmodell.  Använt en schablon från en Volkswagen Golf av 2018 års modell på bilsvar.se</t>
  </si>
  <si>
    <t>Svenska Taxiförbundet - Rapport:  Branschläget 2021, s.15. https://www.taxiforbundet.se/politik/rapporter/ . Utifrån statistiken har  en typbil valts för för det vanligaste bilmärket och årsmodell. Använt en scahblon baserat på  en dieselbil från mercedes 2017 från bilsvar.se</t>
  </si>
  <si>
    <t>Källa: Transportmeasures.org  , https://www.transportmeasures.org/en/wiki/evaluation-transport-suppliers/air-travel-baselines-2018/ , 2021-11-04</t>
  </si>
  <si>
    <t>Genomsnittlig energieffektivitet hos nya personbilar</t>
  </si>
  <si>
    <t>N.H.2.A</t>
  </si>
  <si>
    <t>Riket</t>
  </si>
  <si>
    <t>Medel 2018-2020</t>
  </si>
  <si>
    <t>Källa (Energianvändning bilar 2016-2020) - 2030.miljobarometern.se</t>
  </si>
  <si>
    <t>Genomsnittlig deklarerad energiförbrukning per körd sträcka hos en nyregistrerad personbil (kWh/100 km)</t>
  </si>
  <si>
    <t xml:space="preserve">Handbok för vägtrafikens luftföroreningar - Bilaga 6 Emissionsfaktorer, bränsleförbrukning och trafikarbete - 2019-03-27
</t>
  </si>
  <si>
    <t>https://www.trafikverket.se/for-dig-i-branschen/miljo---for-dig-i-branschen/Luft/Dokument-och-lankar-om-luft/handbok-for-vagtrafikens-luftfororeningar/, 2021-11-04</t>
  </si>
  <si>
    <t>https://2030.miljobarometern.se/nationella-indikatorer/index/fossil-energianvandning-i-nya-personbilar-h2/bilen-energieffektivitet-h2a/,  2021-11-04</t>
  </si>
  <si>
    <t>Källa (Färja):klimatsmartsemester.se (https://klimatsmartsemester.se/sa-har-vi-raknat-farja), 2021-11-04</t>
  </si>
  <si>
    <t>Viktat Medel 2017</t>
  </si>
  <si>
    <t xml:space="preserve">WTW kg/km </t>
  </si>
  <si>
    <t>Fossil komponent</t>
  </si>
  <si>
    <t>Biobensin (inkl. bionafta)</t>
  </si>
  <si>
    <t>Etanol (inkl. ETBE)</t>
  </si>
  <si>
    <t>Reduktionspliktig bensin</t>
  </si>
  <si>
    <t>Drivmedelskomponenter</t>
  </si>
  <si>
    <t>Reduktionspliktig diesel</t>
  </si>
  <si>
    <t>Energiandel förnybart 2020</t>
  </si>
  <si>
    <t>Källa (volymandel): Energimyndigheten - ANVÄNDS EJ DIREKT</t>
  </si>
  <si>
    <t>Källa: Energimyndigheten, ER 2021:29, Drivmedel 2020, https://energimyndigheten.a-w2m.se/Home.mvc?ResourceId=203063, 2021-11-09</t>
  </si>
  <si>
    <t>Specifik källa: Sidan 15, Tabell 2. Volymer av rapporterade drivmedel och drivmedelskomponenter 2016–2020. s 15</t>
  </si>
  <si>
    <t>Volymandel förnybart (vol/vol) %</t>
  </si>
  <si>
    <t>Fordongas</t>
  </si>
  <si>
    <t>Energiandel förnybart (GWh/GWh) %</t>
  </si>
  <si>
    <t>Energimyndigheten, ER 2021:29, Drivmedel 2020, https://energimyndigheten.a-w2m.se/Home.mvc?ResourceId=203063, 2021-11-09</t>
  </si>
  <si>
    <t>Källa:</t>
  </si>
  <si>
    <t>Diesel MK3 + MK1</t>
  </si>
  <si>
    <t>Finns som energiandel redan i Energimyndighetsrapport</t>
  </si>
  <si>
    <t xml:space="preserve">Energiprocent = Volymprocent då det inte innehåller fossilt </t>
  </si>
  <si>
    <t xml:space="preserve">Energiprocent = Volymprocent då det innehåller ytterst lite fossilt </t>
  </si>
  <si>
    <t>Emissionsfaktor 2020, g CO2 per kWh</t>
  </si>
  <si>
    <t>Emissionsfaktor 2020, kg per kWh</t>
  </si>
  <si>
    <t>Källa (Emissionsfaktor): Energimyndigheten 2020 - Egna Beräkningar</t>
  </si>
  <si>
    <t>Energimyndigheten, se länkning</t>
  </si>
  <si>
    <t xml:space="preserve">Andel som primärt drivas med fossilfritt drivmedel: </t>
  </si>
  <si>
    <t>Fossila fordon</t>
  </si>
  <si>
    <t>Fossilbränslefria fordon</t>
  </si>
  <si>
    <t>HVO100 fordon</t>
  </si>
  <si>
    <t>Trafikanalys: Fordon i län och kommuner (publ 2021-02-16) tabell 4: https://www.trafa.se/vagtrafik/fordon/</t>
  </si>
  <si>
    <t>Energimyndigheten -   Den fossila elproduktion som finns är i kraftvärme. "Sveriges elproduktione uppgick till 158,8 terawattimmar (TWh) under 2020. Den konventionella värmekraften bidrog med 12,7 TWh....  10,9 TWh kom från förnybara bränslen". Alltså år den fossila produktionen 12,7-10,9 = 1,8 Twh, vilket motsvarar 1,1 % av totalen.   https://www.energimyndigheten.se/nyhetsarkiv/2021/okning-av-fornybar-elproduktion-under-2020/</t>
  </si>
  <si>
    <t>Källa (Personbilar): Trafikanalys - Energimyndigheten - Miljöfordon.se - Bilval.se</t>
  </si>
  <si>
    <t>Kommentarer/Källa - Energianvändning kWh/km</t>
  </si>
  <si>
    <t xml:space="preserve"> Energimyndigheten, Drivmedel 2020 ER 2020:6, sidan 22</t>
  </si>
  <si>
    <t xml:space="preserve"> Energimyndigheten, Drivmedel 2020 ER 2020:6, bearbetad, se länkning</t>
  </si>
  <si>
    <t xml:space="preserve"> Energimyndigheten, Drivmedel 2020 ER 2020:6, sidan 23</t>
  </si>
  <si>
    <t xml:space="preserve"> Energimyndigheten, Drivmedel 2020 ER 2020:6, sidan 24</t>
  </si>
  <si>
    <t xml:space="preserve"> Energimyndigheten, Drivmedel 2020 ER 2020:6, sidan 21</t>
  </si>
  <si>
    <t xml:space="preserve"> Energimyndigheten, Drivmedel 2020 ER 2020:6, sidan 21. EU-kommissionen har tilldelat Sverige en genomsnittlig klimatpåverkan 13,1 g CO2ekv/MJ hos den el vi använder för att ladda elbilar. Den tilldelade klimatpåverkan 13,1 g CO2ekv/MJ motsvarar situationen på den svenska elmarknaden år 2013</t>
  </si>
  <si>
    <t xml:space="preserve"> Årsmedelvärden av växthusgasutsläpp för bensin i g CO2ekv/kWh är 321. Energimyndigheten, Drivmedel 2020 ER 2020:6, sidan 21</t>
  </si>
  <si>
    <t xml:space="preserve"> Årsmedelvärden av växthusgasutsläpp för diesel i g CO2ekv/kWh är 273. Energimyndigheten, Drivmedel 2020 ER 2020:6, sidan 21</t>
  </si>
  <si>
    <t>Räknats fram utifrån energianvändning per km och bensinens medelklimatpåverkan från Energimdigheten</t>
  </si>
  <si>
    <t xml:space="preserve"> Årsmedelvärden av växthusgasutsläpp för E85 i g CO2ekv/kWh är 175. Energimyndigheten, Drivmedel 2020 ER 2020:6, sidan 21</t>
  </si>
  <si>
    <t>Årsmedel växthusgasutsläpp för fordonsgas 45 gram. Energimyndigheten, Drivmedel 2019 ER 2020:26, sidan 28</t>
  </si>
  <si>
    <t xml:space="preserve">Skånetrafiken - Hållbarhetsredovisning 2020 , sid 41, https://www.skanetrafiken.se/globalassets/dokumentbank/miljo/hallbarhetsredovisning_2020.pdf , 2021-11-17 </t>
  </si>
  <si>
    <t xml:space="preserve">Utsläpp koldioxid g/pkm = 12,7 enligt Skånetrafiken - Hållbarhetsredovisning 2020 , sid 41, https://www.skanetrafiken.se/globalassets/dokumentbank/miljo/hallbarhetsredovisning_2020.pdf , 2021-11-17 </t>
  </si>
  <si>
    <t xml:space="preserve">"Under 2020 blev hela vår trafik (tåg, bussar, spårvagn och
serviceresor) fossilbränslefri" Skånetrafiken - Hållbarhetsredovisning 2020 , sid 28, https://www.skanetrafiken.se/globalassets/dokumentbank/miljo/hallbarhetsredovisning_2020.pdf , 2021-11-17 </t>
  </si>
  <si>
    <t>Skånetrafiken - Hållbarhetsredovisning 2020 , sid 42, https://www.skanetrafiken.se/globalassets/dokumentbank/miljo/hallbarhetsredovisning_2020.pdf , 2021-11-17 . Enligt Skånetrafiken för "Färdjänst och sjukresor" 2020. "Energiförbrukning 23,5 miljoner kWh"/"32,7 miljoner körda km"</t>
  </si>
  <si>
    <t>Källa (Färdtjänst - Energianvändning - Emission) Skånetrafiken</t>
  </si>
  <si>
    <r>
      <t>Källa (Buss/Skolskjuts - Energianvändning och Emission): Trafikverket - Handbok för vägtrafikens luftföroreningar</t>
    </r>
    <r>
      <rPr>
        <b/>
        <sz val="14"/>
        <color theme="4"/>
        <rFont val="Calibri"/>
        <family val="2"/>
        <scheme val="minor"/>
      </rPr>
      <t xml:space="preserve"> </t>
    </r>
  </si>
  <si>
    <t xml:space="preserve">Skånetrafiken - Hållbarhetsredovisning 2020 , sid 42, https://www.skanetrafiken.se/globalassets/dokumentbank/miljo/hallbarhetsredovisning_2020.pdf , 2021-11-17 </t>
  </si>
  <si>
    <t>Tabell för Miljösiffror särskild kollektivtrafik (färdtjänst och sjukresor)</t>
  </si>
  <si>
    <t>Körda kilometer (km)</t>
  </si>
  <si>
    <t>Energiförbrukning färdtjänst och sjukresor (kWh)</t>
  </si>
  <si>
    <t>Energianvändning per km (kWh/km)</t>
  </si>
  <si>
    <t>Förbrukade kWh biogas</t>
  </si>
  <si>
    <t>Förbrukade kWh HVO</t>
  </si>
  <si>
    <t>Förbrukade kWh förnybar el</t>
  </si>
  <si>
    <t>Förbrukade kWh diesel (klimatkompenserade)</t>
  </si>
  <si>
    <t>Förbrukade kWh bensin (klimatkompenserade)</t>
  </si>
  <si>
    <t>Energimängd drivmedel (kWh)</t>
  </si>
  <si>
    <t>Andel förnybar (kWh/kWh)</t>
  </si>
  <si>
    <t>Förnybar energimängd drivmedel (kWh)</t>
  </si>
  <si>
    <t>TOTAL Förnybar energimängd drivmedel (kWh)</t>
  </si>
  <si>
    <t>TOTAL energimängd drivmedel (kWh)</t>
  </si>
  <si>
    <t>Andel förnybar (%)</t>
  </si>
  <si>
    <t>Utsläpp koldioxid g/km</t>
  </si>
  <si>
    <t xml:space="preserve">Kommentar </t>
  </si>
  <si>
    <t xml:space="preserve">Denna siffra inkluderar ej de utsläpp som kommer från bensin och diesel då de klimatkompenserar denna </t>
  </si>
  <si>
    <t>Utsläpp koldioxid kg/km</t>
  </si>
  <si>
    <t xml:space="preserve">Andel förnybart i Skånetrafikens färdtjänst och sjukresor, se länkning. Skånetrafiken - Hållbarhetsredovisning 2020 , sid 42, https://www.skanetrafiken.se/globalassets/dokumentbank/miljo/hallbarhetsredovisning_2020.pdf , 2021-11-17 </t>
  </si>
  <si>
    <t xml:space="preserve">Denna siffra inkluderar ej de utsläpp som kommer från bensin och diesel då de klimatkompenserar denna. Skånetrafiken - Hållbarhetsredovisning 2020 , sid 42, https://www.skanetrafiken.se/globalassets/dokumentbank/miljo/hallbarhetsredovisning_2020.pdf , 2021-11-17  </t>
  </si>
  <si>
    <t>Specifik källa: Sidan 38, Tabell 10. Energimängd av drivmedelskomponenter i Bensin MK1, MK2 och Diesel MK1,
MK3 under helåret 2020 (GWh).</t>
  </si>
  <si>
    <t>Förnybar andel (energiprocent) i reduktionspliktig diesel Mk1 + MK3. Energimyndigheten, ER 2021:29, Drivmedel 2020, https://energimyndigheten.a-w2m.se/Home.mvc?ResourceId=203063, 2021-11-09</t>
  </si>
  <si>
    <t>Bilaga 6:1 Emissionsfaktorer, bränsleförbrukning och trafikarbete för år 2017 (vilka antagande som gjorts för drivmedel för denna buss är oklart, men det är ej bara diesel)</t>
  </si>
  <si>
    <t>Antas köras på reduktionspliktig diesel Mk1.Energimyndigheten, ER 2021:29, Drivmedel 2020, https://energimyndigheten.a-w2m.se/Home.mvc?ResourceId=203063, 2021-11-09</t>
  </si>
  <si>
    <r>
      <rPr>
        <vertAlign val="superscript"/>
        <sz val="8"/>
        <rFont val="Calibri"/>
        <family val="2"/>
        <scheme val="minor"/>
      </rPr>
      <t>3.</t>
    </r>
    <r>
      <rPr>
        <sz val="8"/>
        <rFont val="Calibri"/>
        <family val="2"/>
        <scheme val="minor"/>
      </rPr>
      <t xml:space="preserve"> Dessa typer av tjänster kopplar till Clean Vehicles Directive och är frivilligt att fylla i (Har inte brutit ner den dem eller tagit fram förslag på schabloner) </t>
    </r>
  </si>
  <si>
    <t>Antal personbilar i Skåne 2020</t>
  </si>
  <si>
    <t>Vilken metod har använts och vem/vad är källan till statistiken vad gäller elanvändning?  Har schabloner/föreklingar används? i så fall vilka?</t>
  </si>
  <si>
    <t>Vilken metod har använts och vem/vad är källan till statistiken vad gäller uppvärmningsenergi? Har schabloner/föreklingar används? i så fall vilka?</t>
  </si>
  <si>
    <t>Vilken metod har använts och vem/vad är källan till statistiken vad gäller köpt drivmedel (steg 1)? Har schabloner/föreklingar används? i så fall vilka?</t>
  </si>
  <si>
    <t>Vilken metod har använts och vem/vad är källan till statistiken vad gäller tjänstresor (steg 2)? Har schabloner/föreklingar används? i så fall vilka?</t>
  </si>
  <si>
    <t>Steg 3: Övriga upphandlade fossilintensiva entrepenader/tjänster</t>
  </si>
  <si>
    <t>Vilken metod har använts och vem/vad är källan till statistiken vad gäller fossilintensiva entrepenader/tjänster (steg 3)? Har schabloner/föreklingar används? i så fall vilka?</t>
  </si>
  <si>
    <t>Vilka tjänsteresor ingår i inventeringen? (Steg 2)   (Vilka förvaltningar, verksamheter och bolag ingår och vilka ingår inte?)</t>
  </si>
  <si>
    <t xml:space="preserve">Vilken metod har använts och vem/vad är källan till statistiken vad gäller fossilbränslefria personbilar och lätta lastbilar  (steg 4)? Har schabloner/föreklingar används? i så fall vilka? </t>
  </si>
  <si>
    <r>
      <t xml:space="preserve">Post, paket- och budtransporter  </t>
    </r>
    <r>
      <rPr>
        <vertAlign val="superscript"/>
        <sz val="10"/>
        <rFont val="Calibri"/>
        <family val="2"/>
        <scheme val="minor"/>
      </rPr>
      <t>3</t>
    </r>
    <r>
      <rPr>
        <sz val="10"/>
        <rFont val="Calibri"/>
        <family val="2"/>
        <scheme val="minor"/>
      </rPr>
      <t xml:space="preserve"> </t>
    </r>
  </si>
  <si>
    <r>
      <t xml:space="preserve">Sophämtning </t>
    </r>
    <r>
      <rPr>
        <vertAlign val="superscript"/>
        <sz val="10"/>
        <rFont val="Calibri"/>
        <family val="2"/>
        <scheme val="minor"/>
      </rPr>
      <t>3</t>
    </r>
  </si>
  <si>
    <t>Diesel med låginblandning (Upp till 7% RME) [liter]</t>
  </si>
  <si>
    <t>Använder värde för Preem ACP Diesel med RME</t>
  </si>
  <si>
    <t>Preem Gas Oil Minima - Motorbrännolja</t>
  </si>
  <si>
    <t>Cirkel K bensin 95 /Ingo bensin [liter]</t>
  </si>
  <si>
    <t>100% fossilt</t>
  </si>
  <si>
    <r>
      <rPr>
        <b/>
        <sz val="11"/>
        <rFont val="Calibri"/>
        <family val="2"/>
        <scheme val="minor"/>
      </rPr>
      <t xml:space="preserve">Instruktion 
</t>
    </r>
    <r>
      <rPr>
        <sz val="11"/>
        <rFont val="Calibri"/>
        <family val="2"/>
        <scheme val="minor"/>
      </rPr>
      <t xml:space="preserve">De gröna rutorna fylls i av användaren. Det gäller antal fordon av med olika drivlinor för personbilar respektive lätta lastbilar. Syftet är att få en uppföljning av andel fordon som primärt drivas med fossilfritt drivmedel. I nuvarande uppställning räknas inte dieselfordon som körs på HVO100 som ett fordon som drivs fossiltfritt (det finns dock diagram där detta särredovisas). Diagrammen uppdateras automatiskt.  
</t>
    </r>
    <r>
      <rPr>
        <b/>
        <sz val="11"/>
        <rFont val="Calibri"/>
        <family val="2"/>
        <scheme val="minor"/>
      </rPr>
      <t xml:space="preserve">Frågor? Kontakta: 
Johannes Elamzon 010-2241562, johannes.elamzon@lansstyrelsen.se
</t>
    </r>
  </si>
  <si>
    <t>El utan känt ursprung. "Nordisk residualmix" 2020</t>
  </si>
  <si>
    <t>Emissionsfaktorn för Nordisk residualmix varierar mellan åren (år 2020 var CO2 utsläppen 365,27 g/Kwh). https://ei.se/bransch/ursprungsmarkning-av-el/residualmix, 2021-12-08</t>
  </si>
  <si>
    <t>Energimarknadsinspektionen ,  Residualmix 2020,  Fossilbränslefri = Förnybart 7,99 % + Kärnkraft 37,32 % = 45,31%, https://ei.se/sv/for-energiforetag/el/ursprungsmarkning-av-el/, 2020-10-21</t>
  </si>
  <si>
    <t>Katergorin "Eldningsolja 2-5, All användning samt Övrig användning" har använts. Totalt 274,3488  CO2-ekv. Kg per MWh (C02 274,32 + N2O 0,018 + CH4 0,0108). Från Naturvårdsverkets fil ”Emissionsfaktorer och värmevärden submission 2021”, http://www.naturvardsverket.se/Stod-i-miljoarbetet/Vagledningar/Luft-och-klimat/Berakna-dina-klimatutslapp/Berakna-direkta-utslapp-fran-forbranning/</t>
  </si>
  <si>
    <r>
      <t xml:space="preserve">Katergorin "Dieselbrännolja för annat än transport" har använts. Totalt  259,24 CO2-ekv. Kg per MWh   (C02 259,236 + N2O 0,00216 + CH4 0,0036)  Sedan är verkningsgraden satt till 25% dvs för 1 KWh el krävs 4 KWh diesel. Från Naturvårdsverkets fil ”Emissionsfaktorer och värmevärden submission 2021”, </t>
    </r>
    <r>
      <rPr>
        <b/>
        <sz val="11"/>
        <rFont val="Calibri"/>
        <family val="2"/>
        <scheme val="minor"/>
      </rPr>
      <t>OBS samma siffror 2020 som föregående år</t>
    </r>
    <r>
      <rPr>
        <sz val="11"/>
        <rFont val="Calibri"/>
        <family val="2"/>
        <scheme val="minor"/>
      </rPr>
      <t xml:space="preserve"> http://www.naturvardsverket.se/Stod-i-miljoarbetet/Vagledningar/Luft-och-klimat/Berakna-dina-klimatutslapp/Berakna-direkta-utslapp-fran-forbranning/</t>
    </r>
  </si>
  <si>
    <t>Katergorin "Naturgas - Hushåll/Småskalig förbränning" har använts. Totalt  204,80796CO2-ekv. Kg per MWh (C02 204,804 + N2O 0,00036 + CH4 0,0036 ). Från Naturvårdsverkets fil ”Emissionsfaktorer och värmevärden submission 2021”, http://www.naturvardsverket.se/Stod-i-miljoarbetet/Vagledningar/Luft-och-klimat/Berakna-dina-klimatutslapp/Berakna-direkta-utslapp-fran-forbranning/</t>
  </si>
  <si>
    <r>
      <rPr>
        <b/>
        <sz val="11"/>
        <rFont val="Calibri"/>
        <family val="2"/>
        <scheme val="minor"/>
      </rPr>
      <t xml:space="preserve">Instruktion 
</t>
    </r>
    <r>
      <rPr>
        <sz val="11"/>
        <rFont val="Calibri"/>
        <family val="2"/>
        <scheme val="minor"/>
      </rPr>
      <t xml:space="preserve">De gröna rutorna fylls i av användaren. Det gäller bränslemängder i liter, kg eller energimängd i kWh och sträckan i kilometer. Använder ni något annat t.ex. drivmedel än det som finns med? Lägg till den som en egen rad eller så väljer ni att lägga mängden på en produkt som har snarlika egenskaper, t.ex. vad gäller förnybart innehåll (skriv gärna det i så fall i kommentaren).  Diagrammen uppdateras automatiskt.  
</t>
    </r>
    <r>
      <rPr>
        <b/>
        <sz val="11"/>
        <rFont val="Calibri"/>
        <family val="2"/>
        <scheme val="minor"/>
      </rPr>
      <t xml:space="preserve">Frågor? Kontakta: 
Johannes Elamzon 010-2241562, johannes.elamzon@lansstyrelsen.se
</t>
    </r>
  </si>
  <si>
    <t xml:space="preserve">Diesel med låginblandning (Upp till 7% RME) [liter] </t>
  </si>
  <si>
    <t>Cirkel K Miles Diesel/Ingo diesel [liter]</t>
  </si>
  <si>
    <t>Diesel utan lågiblandning (Bulk, B0, ACP diesel utan RME, blankdiesel)  [liter]</t>
  </si>
  <si>
    <t>Använder Preems uppgifter om energivärde 43,1 MJ/kg https://www.preem.se/contentassets/06854d1d1e634d37b71c5589adbbd0fe/gas-oil-minima.pdf, 2021-12-01</t>
  </si>
  <si>
    <t>Använder Preems uppgifter om  Emission (72,8 ton CO2/TJ) https://www.preem.se/contentassets/06854d1d1e634d37b71c5589adbbd0fe/gas-oil-minima.pdf , 2021-12-01</t>
  </si>
  <si>
    <t>Biogas taxi (2020)</t>
  </si>
  <si>
    <t>Naturgas (2020)</t>
  </si>
  <si>
    <t>Biogas (2020)</t>
  </si>
  <si>
    <t>Färdtjänst HVO (2020)</t>
  </si>
  <si>
    <t>Taxi med 70% HVO (Dieselbilar med 70% förnybart)</t>
  </si>
  <si>
    <t>HVO100 taxi (2020)</t>
  </si>
  <si>
    <t>Avtal Malmö stad 2019</t>
  </si>
  <si>
    <r>
      <rPr>
        <b/>
        <sz val="11"/>
        <color theme="1"/>
        <rFont val="Calibri"/>
        <family val="2"/>
        <scheme val="minor"/>
      </rPr>
      <t>Instruktion - Rutin för datainsamling</t>
    </r>
    <r>
      <rPr>
        <sz val="11"/>
        <color theme="1"/>
        <rFont val="Calibri"/>
        <family val="2"/>
        <scheme val="minor"/>
      </rPr>
      <t xml:space="preserve">
Ange vilken metodik och källa som finns för den data som samlats in. Finns det manueler eller liknanade så kan dessa bifogas. Målet är att en oinsatt ska kunna genomföra inventeringen och att det finns förutsättningar att inventeringen kan återupprepas.  
</t>
    </r>
    <r>
      <rPr>
        <b/>
        <sz val="11"/>
        <color theme="1"/>
        <rFont val="Calibri"/>
        <family val="2"/>
        <scheme val="minor"/>
      </rPr>
      <t>Vem har varit ansvarig för senaste inventeringen i er kommun:</t>
    </r>
  </si>
  <si>
    <t>Personbil - bensin m laddhybrid [st]</t>
  </si>
  <si>
    <t>Personbil - diesel m laddhybrid [st]</t>
  </si>
  <si>
    <t>Lätt lastbil - bensin m laddhybrid [st]</t>
  </si>
  <si>
    <t>Lätt lastbil - diesel m laddhybrid [st]</t>
  </si>
  <si>
    <t>Syftet med att inkludera dessa är att skapa större transperens och att kunna följa beräkningarna bättre. Det kan även utgöra underlag till egna beräkningar.</t>
  </si>
  <si>
    <t>Steg 4: Personbilar och lätta lastbilar, andel fordon som primärt drivas med fossilfritt drivmedel</t>
  </si>
  <si>
    <t>Kan användas som schablon för stationstankning av diesel</t>
  </si>
  <si>
    <t>Kan användas som schablon för stationstankning av bensin</t>
  </si>
  <si>
    <t>Rosa = Schablon som kan användas då data saknas</t>
  </si>
  <si>
    <t>Samma antagande som för privat bil i tjänsten (dvs utgår från fordon i Skåne)</t>
  </si>
  <si>
    <t>Se tabell nedan: Genomsnittet för 2018-2020 vad gäller energiförbrukning per körd sträcka hos nyregistrerade personbilar ligger på cirka 50 kWh/100km http://2030.miljobarometern.se/nationella-indikatorer/bilen/energieffektivitet-hos-nya-fordon-b1k/personbilar/</t>
  </si>
  <si>
    <t>Årsmedelvärden av växthusgasutsläpp från drivmedel i Sverige 2020 i g CO2ekv/kWh var 273. Energimyndigheten, Drivmedel 2020 ER 2021:29, sidan 21</t>
  </si>
  <si>
    <t>Bara förnybar el</t>
  </si>
  <si>
    <r>
      <t xml:space="preserve">Skolskjuts </t>
    </r>
    <r>
      <rPr>
        <vertAlign val="superscript"/>
        <sz val="11"/>
        <rFont val="Calibri"/>
        <family val="2"/>
        <scheme val="minor"/>
      </rPr>
      <t>2</t>
    </r>
    <r>
      <rPr>
        <sz val="11"/>
        <rFont val="Calibri"/>
        <family val="2"/>
        <scheme val="minor"/>
      </rPr>
      <t xml:space="preserve"> [</t>
    </r>
    <r>
      <rPr>
        <sz val="11"/>
        <color rgb="FFFF0000"/>
        <rFont val="Calibri"/>
        <family val="2"/>
        <scheme val="minor"/>
      </rPr>
      <t>km</t>
    </r>
    <r>
      <rPr>
        <sz val="11"/>
        <rFont val="Calibri"/>
        <family val="2"/>
        <scheme val="minor"/>
      </rPr>
      <t>]</t>
    </r>
  </si>
  <si>
    <t xml:space="preserve">Antas vara landsvägsbuss. Värde för 2017. Se tabell nedan. Alltså km </t>
  </si>
  <si>
    <t>Färdtjänst Biogas (2020)</t>
  </si>
  <si>
    <t>Använder klimatprestanda Biogas, se länkning</t>
  </si>
  <si>
    <t>Skolskjuts HVO [km]</t>
  </si>
  <si>
    <t>v220215</t>
  </si>
  <si>
    <t xml:space="preserve">Vilka övriga upphandlade fossilintensiva entrepenader/tjänster ingår? (Steg 3)   (Vilka förvaltningar, verksamheter och bolag ingår och vilka ingår inte?) </t>
  </si>
  <si>
    <t xml:space="preserve">31,65 MJ/l Cirke K - Epost - 2021-11-18  </t>
  </si>
  <si>
    <t xml:space="preserve">Preem - Epost - 2021-10-29  </t>
  </si>
  <si>
    <t xml:space="preserve"> Preem - Epost - 2021-10-29 . Lägre än det som finns på https://www.preem.se/miljoinfo </t>
  </si>
  <si>
    <t xml:space="preserve">Preem - Epost - 2021-10-29. Högre än det som finns på https://www.preem.se/miljoinfo </t>
  </si>
  <si>
    <t xml:space="preserve">35,15 Mj/l Cirke K - Epost - 2021-11-18 </t>
  </si>
  <si>
    <t xml:space="preserve">34,7 MJ/l Cirke K - Epost - 2021-11-18  </t>
  </si>
  <si>
    <t xml:space="preserve">Cirke K - Epost - 2021-11-18 </t>
  </si>
  <si>
    <t xml:space="preserve">Cirke K - Epost - 2021-12-10 </t>
  </si>
  <si>
    <t xml:space="preserve"> Preem - Epost - 2021-10-29  </t>
  </si>
  <si>
    <t xml:space="preserve">Preem - Epost - 2021-10-29 </t>
  </si>
  <si>
    <t xml:space="preserve"> Preem - Epost - 2021-10-29 </t>
  </si>
  <si>
    <t>Enligt leverantör EcoPar: "Nettoutsläppen av koldioxid går ner med 30-50% inräknat hela livscykeln enligt ISO14040." Vi räknar med utsläppen är 60% av diesel utan låginblandning</t>
  </si>
  <si>
    <t xml:space="preserve">Energimyndigheten: E-post 2021-11-11: </t>
  </si>
  <si>
    <r>
      <t xml:space="preserve">Färdtjänst </t>
    </r>
    <r>
      <rPr>
        <vertAlign val="superscript"/>
        <sz val="11"/>
        <rFont val="Calibri"/>
        <family val="2"/>
        <scheme val="minor"/>
      </rPr>
      <t>2</t>
    </r>
    <r>
      <rPr>
        <sz val="11"/>
        <rFont val="Calibri"/>
        <family val="2"/>
        <scheme val="minor"/>
      </rPr>
      <t xml:space="preserve"> [</t>
    </r>
    <r>
      <rPr>
        <sz val="11"/>
        <color rgb="FFFF0000"/>
        <rFont val="Calibri"/>
        <family val="2"/>
        <scheme val="minor"/>
      </rPr>
      <t>km</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</si>
</sst>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0"/>
    <numFmt numFmtId="166" formatCode="0.0"/>
    <numFmt numFmtId="167" formatCode="0.000"/>
    <numFmt numFmtId="168" formatCode="yyyy\-mm\-dd"/>
    <numFmt numFmtId="169" formatCode="####"/>
    <numFmt numFmtId="170" formatCode="0.00##"/>
    <numFmt numFmtId="171" formatCode="#,##0.0000"/>
  </numFmts>
  <fonts count="4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u/>
      <sz val="11"/>
      <color theme="10"/>
      <name val="Calibri"/>
      <family val="2"/>
      <scheme val="minor"/>
    </font>
    <font>
      <sz val="11"/>
      <color theme="0"/>
      <name val="Calibri"/>
      <family val="2"/>
      <scheme val="minor"/>
    </font>
    <font>
      <u/>
      <sz val="11"/>
      <color theme="10"/>
      <name val="Calibri"/>
      <family val="2"/>
    </font>
    <font>
      <b/>
      <sz val="9"/>
      <color indexed="81"/>
      <name val="Tahoma"/>
      <family val="2"/>
    </font>
    <font>
      <sz val="9"/>
      <color indexed="81"/>
      <name val="Tahoma"/>
      <family val="2"/>
    </font>
    <font>
      <sz val="11"/>
      <color theme="1"/>
      <name val="Calibri"/>
      <family val="2"/>
    </font>
    <font>
      <sz val="11"/>
      <color rgb="FF333333"/>
      <name val="Arial"/>
      <family val="2"/>
    </font>
    <font>
      <b/>
      <sz val="14"/>
      <name val="Calibri"/>
      <family val="2"/>
      <scheme val="minor"/>
    </font>
    <font>
      <sz val="24"/>
      <color theme="1"/>
      <name val="Calibri"/>
      <family val="2"/>
      <scheme val="minor"/>
    </font>
    <font>
      <sz val="24"/>
      <color rgb="FFFF0000"/>
      <name val="Calibri"/>
      <family val="2"/>
      <scheme val="minor"/>
    </font>
    <font>
      <b/>
      <sz val="11"/>
      <color rgb="FF333333"/>
      <name val="Calibri"/>
      <family val="2"/>
      <scheme val="minor"/>
    </font>
    <font>
      <sz val="11"/>
      <color rgb="FF333333"/>
      <name val="Calibri"/>
      <family val="2"/>
      <scheme val="minor"/>
    </font>
    <font>
      <b/>
      <sz val="10"/>
      <color rgb="FF333333"/>
      <name val="Arial"/>
      <family val="2"/>
    </font>
    <font>
      <sz val="10"/>
      <name val="Arial"/>
      <family val="2"/>
    </font>
    <font>
      <sz val="9"/>
      <name val="Arial"/>
      <family val="2"/>
    </font>
    <font>
      <b/>
      <sz val="9"/>
      <name val="Arial"/>
      <family val="2"/>
    </font>
    <font>
      <sz val="14"/>
      <color theme="1"/>
      <name val="Calibri"/>
      <family val="2"/>
      <scheme val="minor"/>
    </font>
    <font>
      <b/>
      <sz val="14"/>
      <color rgb="FF333333"/>
      <name val="Calibri"/>
      <family val="2"/>
      <scheme val="minor"/>
    </font>
    <font>
      <b/>
      <sz val="11"/>
      <color theme="1"/>
      <name val="Calibri"/>
      <family val="2"/>
    </font>
    <font>
      <sz val="11"/>
      <color theme="1"/>
      <name val="Calibri"/>
      <family val="2"/>
    </font>
    <font>
      <b/>
      <sz val="11"/>
      <name val="Calibri"/>
      <family val="2"/>
      <scheme val="minor"/>
    </font>
    <font>
      <b/>
      <sz val="16"/>
      <name val="Calibri"/>
      <family val="2"/>
      <scheme val="minor"/>
    </font>
    <font>
      <sz val="10"/>
      <color rgb="FF000000"/>
      <name val="Arial"/>
      <family val="2"/>
    </font>
    <font>
      <sz val="11"/>
      <color rgb="FF000000"/>
      <name val="Calibri"/>
      <family val="2"/>
      <scheme val="minor"/>
    </font>
    <font>
      <sz val="11"/>
      <color theme="4"/>
      <name val="Calibri"/>
      <family val="2"/>
      <scheme val="minor"/>
    </font>
    <font>
      <sz val="11"/>
      <color rgb="FFC00000"/>
      <name val="Calibri"/>
      <family val="2"/>
      <scheme val="minor"/>
    </font>
    <font>
      <b/>
      <sz val="14"/>
      <color theme="4"/>
      <name val="Calibri"/>
      <family val="2"/>
      <scheme val="minor"/>
    </font>
    <font>
      <sz val="11"/>
      <color theme="2" tint="-0.499984740745262"/>
      <name val="Calibri"/>
      <family val="2"/>
      <scheme val="minor"/>
    </font>
    <font>
      <b/>
      <sz val="11"/>
      <color theme="2" tint="-0.499984740745262"/>
      <name val="Calibri"/>
      <family val="2"/>
      <scheme val="minor"/>
    </font>
    <font>
      <sz val="10"/>
      <color theme="1"/>
      <name val="Calibri"/>
      <family val="2"/>
      <scheme val="minor"/>
    </font>
    <font>
      <sz val="10"/>
      <name val="Calibri"/>
      <family val="2"/>
      <scheme val="minor"/>
    </font>
    <font>
      <vertAlign val="superscript"/>
      <sz val="10"/>
      <name val="Calibri"/>
      <family val="2"/>
      <scheme val="minor"/>
    </font>
    <font>
      <b/>
      <sz val="12"/>
      <name val="Calibri"/>
      <family val="2"/>
      <scheme val="minor"/>
    </font>
    <font>
      <u/>
      <sz val="11"/>
      <name val="Calibri"/>
      <family val="2"/>
    </font>
    <font>
      <vertAlign val="superscript"/>
      <sz val="11"/>
      <name val="Calibri"/>
      <family val="2"/>
      <scheme val="minor"/>
    </font>
    <font>
      <sz val="8"/>
      <name val="Calibri"/>
      <family val="2"/>
      <scheme val="minor"/>
    </font>
    <font>
      <vertAlign val="superscript"/>
      <sz val="8"/>
      <name val="Calibri"/>
      <family val="2"/>
      <scheme val="minor"/>
    </font>
    <font>
      <b/>
      <sz val="10"/>
      <name val="Calibri"/>
      <family val="2"/>
      <scheme val="minor"/>
    </font>
    <font>
      <sz val="11"/>
      <name val="Calibri"/>
      <family val="2"/>
    </font>
    <font>
      <u/>
      <sz val="11"/>
      <name val="Calibri"/>
      <family val="2"/>
      <scheme val="minor"/>
    </font>
    <font>
      <sz val="11"/>
      <color rgb="FFFF0000"/>
      <name val="Calibri"/>
      <family val="2"/>
      <scheme val="minor"/>
    </font>
  </fonts>
  <fills count="24">
    <fill>
      <patternFill patternType="none"/>
    </fill>
    <fill>
      <patternFill patternType="gray125"/>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7"/>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8A5E3"/>
        <bgColor indexed="64"/>
      </patternFill>
    </fill>
    <fill>
      <patternFill patternType="solid">
        <fgColor rgb="FFFFCCFF"/>
        <bgColor indexed="64"/>
      </patternFill>
    </fill>
  </fills>
  <borders count="87">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auto="1"/>
      </left>
      <right/>
      <top/>
      <bottom style="thin">
        <color rgb="FF000000"/>
      </bottom>
      <diagonal/>
    </border>
    <border>
      <left/>
      <right style="medium">
        <color auto="1"/>
      </right>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thin">
        <color indexed="64"/>
      </left>
      <right/>
      <top style="thin">
        <color indexed="64"/>
      </top>
      <bottom style="thin">
        <color indexed="64"/>
      </bottom>
      <diagonal/>
    </border>
    <border>
      <left style="slantDashDot">
        <color auto="1"/>
      </left>
      <right style="slantDashDot">
        <color auto="1"/>
      </right>
      <top style="thin">
        <color auto="1"/>
      </top>
      <bottom style="thin">
        <color auto="1"/>
      </bottom>
      <diagonal/>
    </border>
    <border>
      <left style="thin">
        <color indexed="64"/>
      </left>
      <right/>
      <top/>
      <bottom style="thin">
        <color indexed="64"/>
      </bottom>
      <diagonal/>
    </border>
    <border>
      <left/>
      <right/>
      <top/>
      <bottom style="thin">
        <color auto="1"/>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ck">
        <color indexed="64"/>
      </left>
      <right/>
      <top/>
      <bottom/>
      <diagonal/>
    </border>
    <border>
      <left/>
      <right/>
      <top style="thick">
        <color auto="1"/>
      </top>
      <bottom/>
      <diagonal/>
    </border>
    <border>
      <left style="thick">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indexed="64"/>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n">
        <color auto="1"/>
      </left>
      <right style="medium">
        <color auto="1"/>
      </right>
      <top/>
      <bottom/>
      <diagonal/>
    </border>
    <border>
      <left style="thick">
        <color indexed="64"/>
      </left>
      <right/>
      <top style="thick">
        <color indexed="64"/>
      </top>
      <bottom/>
      <diagonal/>
    </border>
    <border>
      <left style="thin">
        <color auto="1"/>
      </left>
      <right style="thick">
        <color indexed="64"/>
      </right>
      <top style="thick">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auto="1"/>
      </left>
      <right style="thin">
        <color auto="1"/>
      </right>
      <top style="thick">
        <color auto="1"/>
      </top>
      <bottom style="thin">
        <color auto="1"/>
      </bottom>
      <diagonal/>
    </border>
    <border>
      <left style="medium">
        <color indexed="64"/>
      </left>
      <right style="medium">
        <color indexed="64"/>
      </right>
      <top style="thin">
        <color indexed="64"/>
      </top>
      <bottom style="thick">
        <color auto="1"/>
      </bottom>
      <diagonal/>
    </border>
    <border>
      <left style="medium">
        <color indexed="64"/>
      </left>
      <right style="medium">
        <color indexed="64"/>
      </right>
      <top style="thick">
        <color auto="1"/>
      </top>
      <bottom style="thin">
        <color auto="1"/>
      </bottom>
      <diagonal/>
    </border>
    <border>
      <left style="medium">
        <color indexed="64"/>
      </left>
      <right style="medium">
        <color indexed="64"/>
      </right>
      <top style="thin">
        <color indexed="64"/>
      </top>
      <bottom style="thin">
        <color indexed="64"/>
      </bottom>
      <diagonal/>
    </border>
    <border>
      <left style="thin">
        <color auto="1"/>
      </left>
      <right style="medium">
        <color auto="1"/>
      </right>
      <top style="thick">
        <color auto="1"/>
      </top>
      <bottom style="thin">
        <color auto="1"/>
      </bottom>
      <diagonal/>
    </border>
    <border>
      <left/>
      <right style="medium">
        <color auto="1"/>
      </right>
      <top style="thin">
        <color indexed="64"/>
      </top>
      <bottom style="thick">
        <color auto="1"/>
      </bottom>
      <diagonal/>
    </border>
    <border>
      <left style="medium">
        <color auto="1"/>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n">
        <color indexed="64"/>
      </top>
      <bottom style="thick">
        <color auto="1"/>
      </bottom>
      <diagonal/>
    </border>
    <border>
      <left style="medium">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medium">
        <color auto="1"/>
      </right>
      <top style="thick">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auto="1"/>
      </left>
      <right/>
      <top style="thin">
        <color auto="1"/>
      </top>
      <bottom style="medium">
        <color auto="1"/>
      </bottom>
      <diagonal/>
    </border>
    <border>
      <left/>
      <right style="thick">
        <color auto="1"/>
      </right>
      <top/>
      <bottom/>
      <diagonal/>
    </border>
    <border>
      <left/>
      <right style="thick">
        <color auto="1"/>
      </right>
      <top style="thin">
        <color auto="1"/>
      </top>
      <bottom/>
      <diagonal/>
    </border>
  </borders>
  <cellStyleXfs count="8">
    <xf numFmtId="0" fontId="0" fillId="0" borderId="0"/>
    <xf numFmtId="9" fontId="3"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0" borderId="0"/>
    <xf numFmtId="0" fontId="19" fillId="0" borderId="0"/>
    <xf numFmtId="0" fontId="11" fillId="0" borderId="0"/>
    <xf numFmtId="0" fontId="25" fillId="0" borderId="0"/>
  </cellStyleXfs>
  <cellXfs count="470">
    <xf numFmtId="0" fontId="0" fillId="0" borderId="0" xfId="0"/>
    <xf numFmtId="0" fontId="0" fillId="0" borderId="2" xfId="0" applyBorder="1"/>
    <xf numFmtId="3" fontId="0" fillId="0" borderId="0" xfId="0" applyNumberFormat="1"/>
    <xf numFmtId="0" fontId="0" fillId="0" borderId="0" xfId="0" applyFill="1"/>
    <xf numFmtId="0" fontId="0" fillId="2" borderId="0" xfId="0" applyFill="1"/>
    <xf numFmtId="0" fontId="2" fillId="0" borderId="0" xfId="0" applyFont="1" applyAlignment="1">
      <alignment wrapText="1"/>
    </xf>
    <xf numFmtId="0" fontId="1" fillId="0" borderId="0" xfId="0" applyFont="1" applyAlignment="1">
      <alignment wrapText="1"/>
    </xf>
    <xf numFmtId="0" fontId="1" fillId="4" borderId="8" xfId="0" applyFont="1" applyFill="1" applyBorder="1" applyAlignment="1">
      <alignment wrapText="1"/>
    </xf>
    <xf numFmtId="0" fontId="1" fillId="4" borderId="8" xfId="0" applyFont="1" applyFill="1" applyBorder="1" applyAlignment="1"/>
    <xf numFmtId="0" fontId="6" fillId="0" borderId="0" xfId="2"/>
    <xf numFmtId="164" fontId="0" fillId="0" borderId="0" xfId="1" applyNumberFormat="1" applyFont="1"/>
    <xf numFmtId="0" fontId="2" fillId="0" borderId="0" xfId="0" applyFont="1"/>
    <xf numFmtId="0" fontId="1" fillId="0" borderId="0" xfId="0" applyFont="1" applyFill="1" applyAlignment="1">
      <alignment wrapText="1"/>
    </xf>
    <xf numFmtId="0" fontId="4" fillId="0" borderId="0" xfId="0" applyFont="1"/>
    <xf numFmtId="3" fontId="4" fillId="0" borderId="0" xfId="0" applyNumberFormat="1" applyFont="1"/>
    <xf numFmtId="4" fontId="4" fillId="0" borderId="0" xfId="0" applyNumberFormat="1" applyFont="1"/>
    <xf numFmtId="0" fontId="0" fillId="0" borderId="0" xfId="0" applyAlignment="1">
      <alignment horizontal="right"/>
    </xf>
    <xf numFmtId="0" fontId="1" fillId="0" borderId="1" xfId="0" applyFont="1" applyBorder="1"/>
    <xf numFmtId="0" fontId="1" fillId="0" borderId="3" xfId="0" applyFont="1" applyBorder="1"/>
    <xf numFmtId="164" fontId="1" fillId="2" borderId="13" xfId="1" applyNumberFormat="1" applyFont="1" applyFill="1" applyBorder="1" applyAlignment="1">
      <alignment horizontal="left"/>
    </xf>
    <xf numFmtId="0" fontId="7" fillId="0" borderId="0" xfId="0" applyFont="1"/>
    <xf numFmtId="0" fontId="0" fillId="5" borderId="0" xfId="0" applyFill="1"/>
    <xf numFmtId="0" fontId="12" fillId="0" borderId="0" xfId="0" applyFont="1" applyAlignment="1">
      <alignment horizontal="left" vertical="center" indent="1"/>
    </xf>
    <xf numFmtId="0" fontId="0" fillId="0" borderId="0" xfId="0" applyBorder="1"/>
    <xf numFmtId="0" fontId="0" fillId="0" borderId="7" xfId="0" applyBorder="1"/>
    <xf numFmtId="0" fontId="0" fillId="0" borderId="10" xfId="0" applyBorder="1"/>
    <xf numFmtId="0" fontId="0" fillId="0" borderId="11" xfId="0" applyBorder="1"/>
    <xf numFmtId="0" fontId="14" fillId="0" borderId="0" xfId="0" applyFont="1"/>
    <xf numFmtId="0" fontId="17" fillId="0" borderId="14" xfId="0" applyFont="1" applyBorder="1" applyAlignment="1">
      <alignment wrapText="1"/>
    </xf>
    <xf numFmtId="0" fontId="16" fillId="6" borderId="14" xfId="0" applyFont="1" applyFill="1" applyBorder="1" applyAlignment="1">
      <alignment wrapText="1"/>
    </xf>
    <xf numFmtId="0" fontId="16" fillId="6" borderId="18" xfId="0" applyFont="1" applyFill="1" applyBorder="1" applyAlignment="1">
      <alignment wrapText="1"/>
    </xf>
    <xf numFmtId="0" fontId="16" fillId="6" borderId="19" xfId="0" applyFont="1" applyFill="1" applyBorder="1" applyAlignment="1">
      <alignment wrapText="1"/>
    </xf>
    <xf numFmtId="0" fontId="17" fillId="0" borderId="18" xfId="0" applyFont="1" applyBorder="1" applyAlignment="1">
      <alignment wrapText="1"/>
    </xf>
    <xf numFmtId="0" fontId="17" fillId="0" borderId="19" xfId="0" applyFont="1" applyBorder="1" applyAlignment="1">
      <alignment wrapText="1"/>
    </xf>
    <xf numFmtId="0" fontId="12" fillId="0" borderId="2" xfId="0" applyFont="1" applyBorder="1" applyAlignment="1">
      <alignment horizontal="left" vertical="center" indent="1"/>
    </xf>
    <xf numFmtId="0" fontId="18" fillId="0" borderId="2" xfId="0" applyFont="1" applyBorder="1" applyAlignment="1">
      <alignment horizontal="left" vertical="center" indent="1"/>
    </xf>
    <xf numFmtId="0" fontId="12" fillId="0" borderId="9" xfId="0" applyFont="1" applyBorder="1" applyAlignment="1">
      <alignment horizontal="left" vertical="center" indent="1"/>
    </xf>
    <xf numFmtId="0" fontId="0" fillId="0" borderId="0" xfId="0" applyAlignment="1">
      <alignment wrapText="1"/>
    </xf>
    <xf numFmtId="0" fontId="0" fillId="0" borderId="8" xfId="0" applyBorder="1"/>
    <xf numFmtId="0" fontId="0" fillId="0" borderId="8" xfId="0" applyBorder="1" applyAlignment="1"/>
    <xf numFmtId="167" fontId="0" fillId="0" borderId="0" xfId="0" applyNumberFormat="1"/>
    <xf numFmtId="0" fontId="0" fillId="0" borderId="20" xfId="0" applyBorder="1"/>
    <xf numFmtId="3" fontId="21" fillId="0" borderId="0" xfId="5" applyNumberFormat="1" applyFont="1" applyBorder="1"/>
    <xf numFmtId="0" fontId="20" fillId="0" borderId="2" xfId="4" applyFont="1" applyFill="1" applyBorder="1" applyAlignment="1">
      <alignment horizontal="left" wrapText="1"/>
    </xf>
    <xf numFmtId="0" fontId="0" fillId="0" borderId="10" xfId="0" applyFill="1" applyBorder="1"/>
    <xf numFmtId="0" fontId="20" fillId="0" borderId="29" xfId="4" applyFont="1" applyBorder="1" applyAlignment="1">
      <alignment horizontal="left" wrapText="1"/>
    </xf>
    <xf numFmtId="0" fontId="0" fillId="6" borderId="25" xfId="0" applyFill="1" applyBorder="1" applyAlignment="1">
      <alignment wrapText="1"/>
    </xf>
    <xf numFmtId="0" fontId="0" fillId="6" borderId="30" xfId="0" applyFill="1" applyBorder="1" applyAlignment="1">
      <alignment wrapText="1"/>
    </xf>
    <xf numFmtId="0" fontId="0" fillId="0" borderId="0" xfId="0" applyNumberFormat="1" applyAlignment="1">
      <alignment wrapText="1"/>
    </xf>
    <xf numFmtId="0" fontId="0" fillId="0" borderId="29" xfId="0" applyBorder="1"/>
    <xf numFmtId="167" fontId="0" fillId="0" borderId="8" xfId="0" applyNumberFormat="1" applyBorder="1"/>
    <xf numFmtId="167" fontId="0" fillId="5" borderId="8" xfId="0" applyNumberFormat="1" applyFill="1" applyBorder="1"/>
    <xf numFmtId="0" fontId="0" fillId="5" borderId="20" xfId="0" applyFill="1" applyBorder="1"/>
    <xf numFmtId="167" fontId="0" fillId="0" borderId="32" xfId="0" applyNumberFormat="1" applyBorder="1"/>
    <xf numFmtId="167" fontId="0" fillId="5" borderId="32" xfId="0" applyNumberFormat="1" applyFill="1" applyBorder="1"/>
    <xf numFmtId="167" fontId="0" fillId="5" borderId="33" xfId="0" applyNumberFormat="1" applyFill="1" applyBorder="1"/>
    <xf numFmtId="0" fontId="0" fillId="0" borderId="35" xfId="0" applyBorder="1"/>
    <xf numFmtId="0" fontId="0" fillId="10" borderId="34" xfId="0" applyFill="1" applyBorder="1"/>
    <xf numFmtId="0" fontId="0" fillId="10" borderId="35" xfId="0" applyFill="1" applyBorder="1"/>
    <xf numFmtId="0" fontId="0" fillId="10" borderId="36" xfId="0" applyFill="1" applyBorder="1"/>
    <xf numFmtId="0" fontId="0" fillId="10" borderId="29" xfId="0" applyFill="1" applyBorder="1"/>
    <xf numFmtId="0" fontId="0" fillId="10" borderId="8" xfId="0" applyFill="1" applyBorder="1"/>
    <xf numFmtId="0" fontId="0" fillId="10" borderId="8" xfId="0" applyFill="1" applyBorder="1" applyAlignment="1">
      <alignment wrapText="1"/>
    </xf>
    <xf numFmtId="0" fontId="0" fillId="10" borderId="20" xfId="0" applyFill="1" applyBorder="1" applyAlignment="1">
      <alignment wrapText="1"/>
    </xf>
    <xf numFmtId="164" fontId="0" fillId="0" borderId="0" xfId="0" applyNumberFormat="1" applyBorder="1"/>
    <xf numFmtId="9" fontId="0" fillId="0" borderId="37" xfId="1" applyFont="1" applyFill="1" applyBorder="1"/>
    <xf numFmtId="0" fontId="2" fillId="0" borderId="21" xfId="0" applyFont="1" applyBorder="1" applyAlignment="1">
      <alignment wrapText="1"/>
    </xf>
    <xf numFmtId="0" fontId="1" fillId="0" borderId="22" xfId="0" applyFont="1" applyFill="1" applyBorder="1" applyAlignment="1">
      <alignment wrapText="1"/>
    </xf>
    <xf numFmtId="0" fontId="1" fillId="0" borderId="22" xfId="0" applyFont="1" applyBorder="1" applyAlignment="1">
      <alignment wrapText="1"/>
    </xf>
    <xf numFmtId="0" fontId="1" fillId="0" borderId="23" xfId="0" applyFont="1" applyFill="1" applyBorder="1"/>
    <xf numFmtId="0" fontId="0" fillId="0" borderId="32" xfId="0" applyBorder="1"/>
    <xf numFmtId="0" fontId="24" fillId="0" borderId="29" xfId="6" applyFont="1" applyBorder="1"/>
    <xf numFmtId="0" fontId="24" fillId="0" borderId="8" xfId="6" applyFont="1" applyBorder="1"/>
    <xf numFmtId="0" fontId="0" fillId="0" borderId="31" xfId="0" applyBorder="1"/>
    <xf numFmtId="0" fontId="0" fillId="0" borderId="33" xfId="0" applyBorder="1"/>
    <xf numFmtId="0" fontId="0" fillId="5" borderId="8" xfId="0" applyFill="1" applyBorder="1"/>
    <xf numFmtId="0" fontId="4" fillId="15" borderId="41" xfId="0" applyFont="1" applyFill="1" applyBorder="1"/>
    <xf numFmtId="0" fontId="26" fillId="4" borderId="8" xfId="0" applyFont="1" applyFill="1" applyBorder="1" applyAlignment="1">
      <alignment wrapText="1"/>
    </xf>
    <xf numFmtId="0" fontId="4" fillId="16" borderId="41" xfId="0" applyFont="1" applyFill="1" applyBorder="1"/>
    <xf numFmtId="0" fontId="4" fillId="15" borderId="43" xfId="0" applyFont="1" applyFill="1" applyBorder="1"/>
    <xf numFmtId="0" fontId="0" fillId="0" borderId="44" xfId="0" applyBorder="1"/>
    <xf numFmtId="0" fontId="0" fillId="0" borderId="44" xfId="0" quotePrefix="1" applyBorder="1"/>
    <xf numFmtId="0" fontId="0" fillId="0" borderId="12" xfId="0" applyBorder="1"/>
    <xf numFmtId="1" fontId="0" fillId="0" borderId="0" xfId="0" applyNumberFormat="1"/>
    <xf numFmtId="1" fontId="1" fillId="0" borderId="12" xfId="0" applyNumberFormat="1" applyFont="1" applyBorder="1"/>
    <xf numFmtId="0" fontId="1" fillId="0" borderId="0" xfId="0" applyFont="1"/>
    <xf numFmtId="0" fontId="0" fillId="0" borderId="0" xfId="0" applyBorder="1" applyAlignment="1">
      <alignment horizontal="center"/>
    </xf>
    <xf numFmtId="166" fontId="0" fillId="0" borderId="0" xfId="1" applyNumberFormat="1" applyFont="1"/>
    <xf numFmtId="0" fontId="0" fillId="0" borderId="0" xfId="1" applyNumberFormat="1" applyFont="1"/>
    <xf numFmtId="164" fontId="4" fillId="0" borderId="0" xfId="1" applyNumberFormat="1" applyFont="1" applyFill="1"/>
    <xf numFmtId="0" fontId="1" fillId="0" borderId="0" xfId="0" applyFont="1" applyAlignment="1">
      <alignment horizontal="right"/>
    </xf>
    <xf numFmtId="3" fontId="1" fillId="0" borderId="12" xfId="0" applyNumberFormat="1" applyFont="1" applyBorder="1"/>
    <xf numFmtId="9" fontId="1" fillId="0" borderId="12" xfId="0" applyNumberFormat="1" applyFont="1" applyBorder="1"/>
    <xf numFmtId="0" fontId="0" fillId="18" borderId="0" xfId="0" applyFill="1" applyAlignment="1">
      <alignment wrapText="1"/>
    </xf>
    <xf numFmtId="0" fontId="28" fillId="0" borderId="0" xfId="0" applyFont="1" applyAlignment="1">
      <alignment horizontal="left" vertical="center" indent="5"/>
    </xf>
    <xf numFmtId="0" fontId="28" fillId="0" borderId="0" xfId="0" applyFont="1" applyAlignment="1">
      <alignment vertical="center"/>
    </xf>
    <xf numFmtId="0" fontId="1" fillId="0" borderId="12" xfId="0" applyFont="1" applyBorder="1"/>
    <xf numFmtId="3" fontId="7" fillId="0" borderId="0" xfId="0" applyNumberFormat="1" applyFont="1"/>
    <xf numFmtId="0" fontId="15" fillId="0" borderId="0" xfId="0" applyFont="1"/>
    <xf numFmtId="0" fontId="14" fillId="19" borderId="0" xfId="0" applyFont="1" applyFill="1"/>
    <xf numFmtId="10" fontId="4" fillId="2" borderId="44" xfId="0" applyNumberFormat="1" applyFont="1" applyFill="1" applyBorder="1"/>
    <xf numFmtId="0" fontId="27" fillId="20" borderId="41" xfId="0" applyFont="1" applyFill="1" applyBorder="1"/>
    <xf numFmtId="0" fontId="4" fillId="21" borderId="41" xfId="0" applyFont="1" applyFill="1" applyBorder="1"/>
    <xf numFmtId="10" fontId="4" fillId="0" borderId="8" xfId="0" applyNumberFormat="1" applyFont="1" applyFill="1" applyBorder="1"/>
    <xf numFmtId="164" fontId="3" fillId="0" borderId="0" xfId="1" applyNumberFormat="1" applyFont="1"/>
    <xf numFmtId="3" fontId="3" fillId="0" borderId="0" xfId="0" applyNumberFormat="1" applyFont="1"/>
    <xf numFmtId="167" fontId="3" fillId="0" borderId="0" xfId="0" applyNumberFormat="1" applyFont="1"/>
    <xf numFmtId="167" fontId="3" fillId="0" borderId="0" xfId="0" applyNumberFormat="1" applyFont="1" applyFill="1"/>
    <xf numFmtId="167" fontId="29" fillId="0" borderId="0" xfId="0" applyNumberFormat="1" applyFont="1" applyAlignment="1">
      <alignment horizontal="right"/>
    </xf>
    <xf numFmtId="3" fontId="4" fillId="9" borderId="8" xfId="0" applyNumberFormat="1" applyFont="1" applyFill="1" applyBorder="1"/>
    <xf numFmtId="164" fontId="0" fillId="9" borderId="8" xfId="1" applyNumberFormat="1" applyFont="1" applyFill="1" applyBorder="1"/>
    <xf numFmtId="3" fontId="0" fillId="9" borderId="8" xfId="0" applyNumberFormat="1" applyFill="1" applyBorder="1"/>
    <xf numFmtId="164" fontId="4" fillId="9" borderId="46" xfId="1" applyNumberFormat="1" applyFont="1" applyFill="1" applyBorder="1"/>
    <xf numFmtId="167" fontId="0" fillId="9" borderId="8" xfId="1" applyNumberFormat="1" applyFont="1" applyFill="1" applyBorder="1"/>
    <xf numFmtId="167" fontId="3" fillId="9" borderId="8" xfId="1" applyNumberFormat="1" applyFont="1" applyFill="1" applyBorder="1"/>
    <xf numFmtId="164" fontId="3" fillId="9" borderId="8" xfId="1" applyNumberFormat="1" applyFont="1" applyFill="1" applyBorder="1"/>
    <xf numFmtId="0" fontId="33" fillId="0" borderId="0" xfId="0" applyFont="1" applyBorder="1"/>
    <xf numFmtId="0" fontId="33" fillId="0" borderId="0" xfId="1" applyNumberFormat="1" applyFont="1" applyFill="1" applyBorder="1"/>
    <xf numFmtId="0" fontId="33" fillId="0" borderId="2" xfId="0" applyFont="1" applyBorder="1"/>
    <xf numFmtId="0" fontId="33" fillId="0" borderId="0" xfId="0" applyFont="1"/>
    <xf numFmtId="0" fontId="34" fillId="0" borderId="0" xfId="0" applyFont="1" applyBorder="1"/>
    <xf numFmtId="0" fontId="4" fillId="0" borderId="0" xfId="0" applyFont="1" applyFill="1"/>
    <xf numFmtId="0" fontId="20" fillId="0" borderId="34" xfId="4" applyFont="1" applyFill="1" applyBorder="1" applyAlignment="1">
      <alignment horizontal="left" wrapText="1"/>
    </xf>
    <xf numFmtId="0" fontId="0" fillId="0" borderId="36" xfId="0" applyBorder="1"/>
    <xf numFmtId="164" fontId="0" fillId="0" borderId="0" xfId="0" applyNumberFormat="1"/>
    <xf numFmtId="10" fontId="31" fillId="0" borderId="0" xfId="0" applyNumberFormat="1" applyFont="1" applyFill="1"/>
    <xf numFmtId="2" fontId="36" fillId="9" borderId="25" xfId="0" applyNumberFormat="1" applyFont="1" applyFill="1" applyBorder="1"/>
    <xf numFmtId="0" fontId="0" fillId="6" borderId="24" xfId="0" applyFill="1" applyBorder="1" applyAlignment="1">
      <alignment wrapText="1"/>
    </xf>
    <xf numFmtId="0" fontId="4" fillId="0" borderId="8" xfId="0" applyFont="1" applyBorder="1" applyAlignment="1"/>
    <xf numFmtId="3" fontId="36" fillId="0" borderId="0" xfId="0" applyNumberFormat="1" applyFont="1" applyFill="1"/>
    <xf numFmtId="0" fontId="36" fillId="0" borderId="0" xfId="0" applyFont="1"/>
    <xf numFmtId="0" fontId="35" fillId="0" borderId="0" xfId="0" applyFont="1" applyFill="1"/>
    <xf numFmtId="0" fontId="0" fillId="0" borderId="0" xfId="0" applyBorder="1" applyAlignment="1"/>
    <xf numFmtId="0" fontId="4" fillId="0" borderId="8" xfId="0" applyFont="1" applyBorder="1"/>
    <xf numFmtId="167" fontId="0" fillId="0" borderId="0" xfId="0" applyNumberFormat="1" applyBorder="1"/>
    <xf numFmtId="167" fontId="0" fillId="0" borderId="0" xfId="0" applyNumberFormat="1" applyFill="1" applyBorder="1"/>
    <xf numFmtId="167" fontId="0" fillId="0" borderId="57" xfId="0" applyNumberFormat="1" applyFill="1" applyBorder="1"/>
    <xf numFmtId="0" fontId="5" fillId="7" borderId="58" xfId="0" applyFont="1" applyFill="1" applyBorder="1" applyAlignment="1"/>
    <xf numFmtId="0" fontId="0" fillId="7" borderId="51" xfId="0" applyFill="1" applyBorder="1" applyAlignment="1"/>
    <xf numFmtId="167" fontId="0" fillId="7" borderId="51" xfId="0" applyNumberFormat="1" applyFill="1" applyBorder="1"/>
    <xf numFmtId="167" fontId="0" fillId="7" borderId="59" xfId="0" applyNumberFormat="1" applyFill="1" applyBorder="1"/>
    <xf numFmtId="0" fontId="5" fillId="20" borderId="50" xfId="0" applyFont="1" applyFill="1" applyBorder="1" applyAlignment="1"/>
    <xf numFmtId="0" fontId="0" fillId="20" borderId="0" xfId="0" applyFill="1" applyBorder="1" applyAlignment="1"/>
    <xf numFmtId="167" fontId="0" fillId="20" borderId="0" xfId="0" applyNumberFormat="1" applyFill="1" applyBorder="1"/>
    <xf numFmtId="0" fontId="0" fillId="20" borderId="8" xfId="0" applyFill="1" applyBorder="1" applyAlignment="1">
      <alignment wrapText="1"/>
    </xf>
    <xf numFmtId="0" fontId="0" fillId="20" borderId="20" xfId="0" applyFill="1" applyBorder="1" applyAlignment="1">
      <alignment wrapText="1"/>
    </xf>
    <xf numFmtId="0" fontId="38" fillId="0" borderId="0" xfId="0" applyFont="1"/>
    <xf numFmtId="0" fontId="39" fillId="0" borderId="0" xfId="3" applyFont="1" applyAlignment="1" applyProtection="1"/>
    <xf numFmtId="164" fontId="4" fillId="0" borderId="0" xfId="1" applyNumberFormat="1" applyFont="1"/>
    <xf numFmtId="0" fontId="38" fillId="0" borderId="0" xfId="0" applyFont="1" applyFill="1" applyAlignment="1">
      <alignment wrapText="1"/>
    </xf>
    <xf numFmtId="0" fontId="26" fillId="0" borderId="0" xfId="0" applyFont="1" applyFill="1" applyAlignment="1">
      <alignment wrapText="1"/>
    </xf>
    <xf numFmtId="2" fontId="4" fillId="0" borderId="0" xfId="0" applyNumberFormat="1" applyFont="1" applyFill="1"/>
    <xf numFmtId="3" fontId="4" fillId="0" borderId="0" xfId="0" applyNumberFormat="1" applyFont="1" applyFill="1"/>
    <xf numFmtId="167" fontId="4" fillId="0" borderId="0" xfId="0" applyNumberFormat="1" applyFont="1"/>
    <xf numFmtId="1" fontId="4" fillId="0" borderId="0" xfId="0" applyNumberFormat="1" applyFont="1"/>
    <xf numFmtId="164" fontId="4" fillId="9" borderId="8" xfId="1" applyNumberFormat="1" applyFont="1" applyFill="1" applyBorder="1"/>
    <xf numFmtId="164" fontId="4" fillId="0" borderId="0" xfId="1" applyNumberFormat="1" applyFont="1" applyFill="1" applyBorder="1"/>
    <xf numFmtId="0" fontId="4" fillId="0" borderId="0" xfId="0" applyFont="1" applyAlignment="1">
      <alignment horizontal="right"/>
    </xf>
    <xf numFmtId="164" fontId="4" fillId="0" borderId="0" xfId="0" applyNumberFormat="1" applyFont="1" applyAlignment="1">
      <alignment horizontal="left"/>
    </xf>
    <xf numFmtId="167" fontId="4" fillId="9" borderId="8" xfId="1" applyNumberFormat="1" applyFont="1" applyFill="1" applyBorder="1"/>
    <xf numFmtId="0" fontId="26" fillId="0" borderId="12" xfId="0" applyFont="1" applyFill="1" applyBorder="1"/>
    <xf numFmtId="3" fontId="4" fillId="0" borderId="12" xfId="0" applyNumberFormat="1" applyFont="1" applyFill="1" applyBorder="1"/>
    <xf numFmtId="0" fontId="26" fillId="0" borderId="12" xfId="0" applyFont="1" applyFill="1" applyBorder="1" applyAlignment="1">
      <alignment horizontal="right"/>
    </xf>
    <xf numFmtId="3" fontId="26" fillId="0" borderId="12" xfId="0" applyNumberFormat="1" applyFont="1" applyFill="1" applyBorder="1"/>
    <xf numFmtId="0" fontId="4" fillId="0" borderId="12" xfId="0" applyFont="1" applyBorder="1"/>
    <xf numFmtId="1" fontId="26" fillId="0" borderId="0" xfId="0" applyNumberFormat="1" applyFont="1" applyBorder="1"/>
    <xf numFmtId="0" fontId="26" fillId="0" borderId="1" xfId="0" applyFont="1" applyBorder="1"/>
    <xf numFmtId="0" fontId="26" fillId="0" borderId="3" xfId="0" applyFont="1" applyBorder="1"/>
    <xf numFmtId="164" fontId="26" fillId="2" borderId="13" xfId="1" applyNumberFormat="1" applyFont="1" applyFill="1" applyBorder="1" applyAlignment="1">
      <alignment horizontal="left"/>
    </xf>
    <xf numFmtId="0" fontId="36" fillId="0" borderId="0" xfId="0" applyFont="1" applyFill="1"/>
    <xf numFmtId="0" fontId="38" fillId="0" borderId="0" xfId="0" applyFont="1" applyAlignment="1">
      <alignment wrapText="1"/>
    </xf>
    <xf numFmtId="0" fontId="26" fillId="0" borderId="0" xfId="0" applyFont="1" applyAlignment="1">
      <alignment wrapText="1"/>
    </xf>
    <xf numFmtId="2" fontId="4" fillId="9" borderId="8" xfId="0" applyNumberFormat="1" applyFont="1" applyFill="1" applyBorder="1"/>
    <xf numFmtId="167" fontId="4" fillId="9" borderId="8" xfId="0" applyNumberFormat="1" applyFont="1" applyFill="1" applyBorder="1"/>
    <xf numFmtId="0" fontId="4" fillId="0" borderId="0" xfId="0" applyFont="1" applyAlignment="1">
      <alignment horizontal="left"/>
    </xf>
    <xf numFmtId="164" fontId="4" fillId="0" borderId="0" xfId="0" applyNumberFormat="1" applyFont="1"/>
    <xf numFmtId="0" fontId="4" fillId="9" borderId="8" xfId="0" applyFont="1" applyFill="1" applyBorder="1"/>
    <xf numFmtId="0" fontId="41" fillId="0" borderId="0" xfId="0" applyFont="1"/>
    <xf numFmtId="0" fontId="4" fillId="0" borderId="3" xfId="0" applyFont="1" applyBorder="1"/>
    <xf numFmtId="164" fontId="26" fillId="8" borderId="13" xfId="0" applyNumberFormat="1" applyFont="1" applyFill="1" applyBorder="1"/>
    <xf numFmtId="0" fontId="26" fillId="0" borderId="0" xfId="0" applyFont="1" applyBorder="1"/>
    <xf numFmtId="164" fontId="26" fillId="0" borderId="0" xfId="1" applyNumberFormat="1" applyFont="1" applyFill="1" applyBorder="1" applyAlignment="1">
      <alignment horizontal="left"/>
    </xf>
    <xf numFmtId="0" fontId="26" fillId="0" borderId="0" xfId="0" applyFont="1" applyFill="1" applyBorder="1"/>
    <xf numFmtId="0" fontId="4" fillId="0" borderId="0" xfId="0" applyFont="1" applyFill="1" applyBorder="1"/>
    <xf numFmtId="164" fontId="26" fillId="0" borderId="0" xfId="0" applyNumberFormat="1" applyFont="1" applyFill="1" applyBorder="1"/>
    <xf numFmtId="0" fontId="26" fillId="0" borderId="0" xfId="0" applyFont="1"/>
    <xf numFmtId="0" fontId="43" fillId="0" borderId="0" xfId="0" applyFont="1" applyAlignment="1">
      <alignment wrapText="1"/>
    </xf>
    <xf numFmtId="0" fontId="43" fillId="0" borderId="0" xfId="0" applyFont="1" applyFill="1" applyAlignment="1">
      <alignment wrapText="1"/>
    </xf>
    <xf numFmtId="3" fontId="36" fillId="9" borderId="8" xfId="0" applyNumberFormat="1" applyFont="1" applyFill="1" applyBorder="1"/>
    <xf numFmtId="2" fontId="36" fillId="9" borderId="8" xfId="0" applyNumberFormat="1" applyFont="1" applyFill="1" applyBorder="1"/>
    <xf numFmtId="164" fontId="36" fillId="9" borderId="8" xfId="1" applyNumberFormat="1" applyFont="1" applyFill="1" applyBorder="1"/>
    <xf numFmtId="167" fontId="36" fillId="9" borderId="8" xfId="0" applyNumberFormat="1" applyFont="1" applyFill="1" applyBorder="1"/>
    <xf numFmtId="3" fontId="36" fillId="0" borderId="0" xfId="0" applyNumberFormat="1" applyFont="1"/>
    <xf numFmtId="3" fontId="36" fillId="9" borderId="25" xfId="0" applyNumberFormat="1" applyFont="1" applyFill="1" applyBorder="1"/>
    <xf numFmtId="167" fontId="36" fillId="9" borderId="25" xfId="0" applyNumberFormat="1" applyFont="1" applyFill="1" applyBorder="1"/>
    <xf numFmtId="0" fontId="43" fillId="0" borderId="41" xfId="0" applyFont="1" applyBorder="1"/>
    <xf numFmtId="0" fontId="36" fillId="0" borderId="35" xfId="0" applyFont="1" applyBorder="1"/>
    <xf numFmtId="9" fontId="43" fillId="17" borderId="46" xfId="1" applyFont="1" applyFill="1" applyBorder="1"/>
    <xf numFmtId="164" fontId="26" fillId="0" borderId="0" xfId="1" applyNumberFormat="1" applyFont="1" applyBorder="1" applyAlignment="1">
      <alignment horizontal="left"/>
    </xf>
    <xf numFmtId="0" fontId="4" fillId="0" borderId="0" xfId="0" applyFont="1" applyAlignment="1">
      <alignment vertical="center"/>
    </xf>
    <xf numFmtId="0" fontId="26" fillId="9" borderId="8" xfId="0" applyFont="1" applyFill="1" applyBorder="1"/>
    <xf numFmtId="0" fontId="26" fillId="9" borderId="0" xfId="0" applyFont="1" applyFill="1" applyAlignment="1">
      <alignment wrapText="1"/>
    </xf>
    <xf numFmtId="0" fontId="26" fillId="9" borderId="8" xfId="0" applyFont="1" applyFill="1" applyBorder="1" applyAlignment="1">
      <alignment wrapText="1"/>
    </xf>
    <xf numFmtId="0" fontId="4" fillId="10" borderId="43" xfId="0" applyFont="1" applyFill="1" applyBorder="1"/>
    <xf numFmtId="0" fontId="4" fillId="0" borderId="35" xfId="0" applyFont="1" applyBorder="1"/>
    <xf numFmtId="167" fontId="4" fillId="2" borderId="42" xfId="0" applyNumberFormat="1" applyFont="1" applyFill="1" applyBorder="1"/>
    <xf numFmtId="167" fontId="4" fillId="0" borderId="35" xfId="0" applyNumberFormat="1" applyFont="1" applyFill="1" applyBorder="1"/>
    <xf numFmtId="0" fontId="4" fillId="0" borderId="35" xfId="0" applyFont="1" applyFill="1" applyBorder="1"/>
    <xf numFmtId="0" fontId="4" fillId="10" borderId="41" xfId="0" applyFont="1" applyFill="1" applyBorder="1"/>
    <xf numFmtId="10" fontId="4" fillId="2" borderId="35" xfId="0" applyNumberFormat="1" applyFont="1" applyFill="1" applyBorder="1"/>
    <xf numFmtId="0" fontId="4" fillId="20" borderId="47" xfId="0" applyFont="1" applyFill="1" applyBorder="1"/>
    <xf numFmtId="167" fontId="4" fillId="20" borderId="47" xfId="0" applyNumberFormat="1" applyFont="1" applyFill="1" applyBorder="1"/>
    <xf numFmtId="0" fontId="39" fillId="20" borderId="47" xfId="3" applyFont="1" applyFill="1" applyBorder="1" applyAlignment="1" applyProtection="1"/>
    <xf numFmtId="0" fontId="4" fillId="20" borderId="0" xfId="0" applyFont="1" applyFill="1"/>
    <xf numFmtId="167" fontId="4" fillId="8" borderId="8" xfId="0" applyNumberFormat="1" applyFont="1" applyFill="1" applyBorder="1"/>
    <xf numFmtId="167" fontId="4" fillId="0" borderId="8" xfId="0" applyNumberFormat="1" applyFont="1" applyFill="1" applyBorder="1"/>
    <xf numFmtId="0" fontId="4" fillId="0" borderId="8" xfId="0" applyFont="1" applyFill="1" applyBorder="1"/>
    <xf numFmtId="0" fontId="4" fillId="0" borderId="2" xfId="0" applyFont="1" applyBorder="1"/>
    <xf numFmtId="0" fontId="4" fillId="0" borderId="29" xfId="0" applyFont="1" applyBorder="1"/>
    <xf numFmtId="165" fontId="4" fillId="2" borderId="8" xfId="0" applyNumberFormat="1" applyFont="1" applyFill="1" applyBorder="1"/>
    <xf numFmtId="164" fontId="4" fillId="2" borderId="8" xfId="0" applyNumberFormat="1" applyFont="1" applyFill="1" applyBorder="1"/>
    <xf numFmtId="167" fontId="4" fillId="2" borderId="8" xfId="0" applyNumberFormat="1" applyFont="1" applyFill="1" applyBorder="1"/>
    <xf numFmtId="3" fontId="4" fillId="0" borderId="8" xfId="0" applyNumberFormat="1" applyFont="1" applyBorder="1" applyAlignment="1"/>
    <xf numFmtId="0" fontId="4" fillId="0" borderId="20" xfId="0" applyFont="1" applyBorder="1" applyAlignment="1"/>
    <xf numFmtId="164" fontId="4" fillId="2" borderId="8" xfId="1" applyNumberFormat="1" applyFont="1" applyFill="1" applyBorder="1"/>
    <xf numFmtId="165" fontId="4" fillId="8" borderId="8" xfId="0" applyNumberFormat="1" applyFont="1" applyFill="1" applyBorder="1"/>
    <xf numFmtId="164" fontId="4" fillId="8" borderId="8" xfId="1" applyNumberFormat="1" applyFont="1" applyFill="1" applyBorder="1"/>
    <xf numFmtId="0" fontId="4" fillId="0" borderId="29" xfId="0" applyFont="1" applyBorder="1" applyAlignment="1">
      <alignment vertical="top"/>
    </xf>
    <xf numFmtId="165" fontId="4" fillId="8" borderId="8" xfId="0" applyNumberFormat="1" applyFont="1" applyFill="1" applyBorder="1" applyAlignment="1">
      <alignment vertical="top"/>
    </xf>
    <xf numFmtId="164" fontId="4" fillId="8" borderId="8" xfId="1" applyNumberFormat="1" applyFont="1" applyFill="1" applyBorder="1" applyAlignment="1">
      <alignment vertical="top"/>
    </xf>
    <xf numFmtId="167" fontId="4" fillId="8" borderId="8" xfId="0" applyNumberFormat="1" applyFont="1" applyFill="1" applyBorder="1" applyAlignment="1">
      <alignment vertical="top"/>
    </xf>
    <xf numFmtId="0" fontId="4" fillId="0" borderId="8" xfId="0" applyFont="1" applyBorder="1" applyAlignment="1">
      <alignment vertical="top" wrapText="1"/>
    </xf>
    <xf numFmtId="0" fontId="4" fillId="0" borderId="20" xfId="0" applyFont="1" applyBorder="1" applyAlignment="1">
      <alignment vertical="top"/>
    </xf>
    <xf numFmtId="3" fontId="4" fillId="0" borderId="29" xfId="0" applyNumberFormat="1" applyFont="1" applyBorder="1"/>
    <xf numFmtId="3" fontId="21" fillId="0" borderId="8" xfId="5" applyNumberFormat="1" applyFont="1" applyBorder="1" applyAlignment="1"/>
    <xf numFmtId="164" fontId="4" fillId="0" borderId="8" xfId="1" applyNumberFormat="1" applyFont="1" applyBorder="1"/>
    <xf numFmtId="3" fontId="21" fillId="0" borderId="8" xfId="5" applyNumberFormat="1" applyFont="1" applyBorder="1"/>
    <xf numFmtId="3" fontId="21" fillId="0" borderId="35" xfId="5" applyNumberFormat="1" applyFont="1" applyBorder="1"/>
    <xf numFmtId="0" fontId="4" fillId="0" borderId="20" xfId="0" applyFont="1" applyBorder="1"/>
    <xf numFmtId="0" fontId="4" fillId="6" borderId="24" xfId="0" applyFont="1" applyFill="1" applyBorder="1"/>
    <xf numFmtId="0" fontId="4" fillId="6" borderId="25" xfId="0" applyFont="1" applyFill="1" applyBorder="1" applyAlignment="1">
      <alignment wrapText="1"/>
    </xf>
    <xf numFmtId="0" fontId="4" fillId="6" borderId="30" xfId="0" applyFont="1" applyFill="1" applyBorder="1" applyAlignment="1">
      <alignment wrapText="1"/>
    </xf>
    <xf numFmtId="3" fontId="26" fillId="0" borderId="0" xfId="0" applyNumberFormat="1" applyFont="1" applyBorder="1"/>
    <xf numFmtId="0" fontId="21" fillId="0" borderId="27" xfId="4" applyFont="1" applyFill="1" applyBorder="1" applyAlignment="1">
      <alignment horizontal="left" wrapText="1"/>
    </xf>
    <xf numFmtId="0" fontId="26" fillId="0" borderId="28" xfId="0" applyFont="1" applyBorder="1"/>
    <xf numFmtId="10" fontId="26" fillId="5" borderId="28" xfId="0" applyNumberFormat="1" applyFont="1" applyFill="1" applyBorder="1"/>
    <xf numFmtId="167" fontId="1" fillId="5" borderId="26" xfId="0" applyNumberFormat="1" applyFont="1" applyFill="1" applyBorder="1"/>
    <xf numFmtId="166" fontId="1" fillId="5" borderId="26" xfId="1" applyNumberFormat="1" applyFont="1" applyFill="1" applyBorder="1"/>
    <xf numFmtId="167" fontId="26" fillId="5" borderId="26" xfId="0" applyNumberFormat="1" applyFont="1" applyFill="1" applyBorder="1"/>
    <xf numFmtId="166" fontId="26" fillId="5" borderId="26" xfId="1" applyNumberFormat="1" applyFont="1" applyFill="1" applyBorder="1"/>
    <xf numFmtId="0" fontId="4" fillId="0" borderId="60" xfId="0" applyFont="1" applyBorder="1"/>
    <xf numFmtId="0" fontId="4" fillId="0" borderId="61" xfId="0" applyFont="1" applyBorder="1"/>
    <xf numFmtId="0" fontId="4" fillId="5" borderId="61" xfId="0" applyFont="1" applyFill="1" applyBorder="1"/>
    <xf numFmtId="0" fontId="4" fillId="5" borderId="62" xfId="0" applyFont="1" applyFill="1" applyBorder="1"/>
    <xf numFmtId="0" fontId="44" fillId="0" borderId="31" xfId="7" applyFont="1" applyFill="1" applyBorder="1"/>
    <xf numFmtId="0" fontId="4" fillId="0" borderId="32" xfId="0" applyFont="1" applyBorder="1"/>
    <xf numFmtId="3" fontId="26" fillId="0" borderId="12" xfId="0" applyNumberFormat="1" applyFont="1" applyBorder="1"/>
    <xf numFmtId="0" fontId="43" fillId="0" borderId="12" xfId="0" applyFont="1" applyBorder="1" applyAlignment="1">
      <alignment horizontal="right"/>
    </xf>
    <xf numFmtId="3" fontId="43" fillId="0" borderId="12" xfId="0" applyNumberFormat="1" applyFont="1" applyBorder="1"/>
    <xf numFmtId="0" fontId="36" fillId="0" borderId="12" xfId="0" applyFont="1" applyBorder="1"/>
    <xf numFmtId="0" fontId="6" fillId="0" borderId="35" xfId="2" applyBorder="1"/>
    <xf numFmtId="0" fontId="4" fillId="5" borderId="8" xfId="0" applyFont="1" applyFill="1" applyBorder="1"/>
    <xf numFmtId="0" fontId="4" fillId="5" borderId="35" xfId="0" applyFont="1" applyFill="1" applyBorder="1"/>
    <xf numFmtId="165" fontId="4" fillId="0" borderId="8" xfId="0" applyNumberFormat="1" applyFont="1" applyFill="1" applyBorder="1" applyAlignment="1"/>
    <xf numFmtId="0" fontId="0" fillId="0" borderId="8" xfId="0" applyFill="1" applyBorder="1" applyAlignment="1"/>
    <xf numFmtId="164" fontId="0" fillId="0" borderId="8" xfId="0" applyNumberFormat="1" applyBorder="1"/>
    <xf numFmtId="166" fontId="0" fillId="0" borderId="8" xfId="0" applyNumberFormat="1" applyBorder="1"/>
    <xf numFmtId="0" fontId="4" fillId="16" borderId="41" xfId="0" applyFont="1" applyFill="1" applyBorder="1" applyAlignment="1"/>
    <xf numFmtId="0" fontId="45" fillId="0" borderId="46" xfId="2" applyFont="1" applyBorder="1" applyAlignment="1"/>
    <xf numFmtId="0" fontId="0" fillId="0" borderId="8" xfId="0" applyFill="1" applyBorder="1"/>
    <xf numFmtId="165" fontId="4" fillId="0" borderId="8" xfId="0" applyNumberFormat="1" applyFont="1" applyBorder="1"/>
    <xf numFmtId="0" fontId="1" fillId="0" borderId="8" xfId="0" applyFont="1" applyBorder="1"/>
    <xf numFmtId="0" fontId="1" fillId="22" borderId="8" xfId="0" applyFont="1" applyFill="1" applyBorder="1" applyAlignment="1">
      <alignment wrapText="1"/>
    </xf>
    <xf numFmtId="0" fontId="38" fillId="22" borderId="8" xfId="0" applyFont="1" applyFill="1" applyBorder="1" applyAlignment="1">
      <alignment wrapText="1"/>
    </xf>
    <xf numFmtId="3" fontId="0" fillId="0" borderId="8" xfId="0" applyNumberFormat="1" applyBorder="1"/>
    <xf numFmtId="2" fontId="0" fillId="0" borderId="8" xfId="0" applyNumberFormat="1" applyBorder="1"/>
    <xf numFmtId="0" fontId="4" fillId="0" borderId="8" xfId="0" applyFont="1" applyFill="1" applyBorder="1" applyAlignment="1">
      <alignment horizontal="left"/>
    </xf>
    <xf numFmtId="2" fontId="4" fillId="0" borderId="8" xfId="0" applyNumberFormat="1" applyFont="1" applyFill="1" applyBorder="1" applyAlignment="1">
      <alignment horizontal="left" vertical="top" wrapText="1"/>
    </xf>
    <xf numFmtId="3" fontId="4" fillId="9" borderId="41" xfId="0" applyNumberFormat="1" applyFont="1" applyFill="1" applyBorder="1"/>
    <xf numFmtId="0" fontId="26" fillId="0" borderId="0" xfId="0" applyFont="1" applyFill="1"/>
    <xf numFmtId="0" fontId="17" fillId="5" borderId="14" xfId="0" applyFont="1" applyFill="1" applyBorder="1" applyAlignment="1">
      <alignment wrapText="1"/>
    </xf>
    <xf numFmtId="0" fontId="4" fillId="13" borderId="35" xfId="0" applyFont="1" applyFill="1" applyBorder="1" applyAlignment="1"/>
    <xf numFmtId="0" fontId="0" fillId="0" borderId="8" xfId="0" applyBorder="1" applyAlignment="1">
      <alignment wrapText="1"/>
    </xf>
    <xf numFmtId="166" fontId="4" fillId="0" borderId="8" xfId="0" applyNumberFormat="1" applyFont="1" applyFill="1" applyBorder="1"/>
    <xf numFmtId="0" fontId="11" fillId="0" borderId="0" xfId="6"/>
    <xf numFmtId="168" fontId="11" fillId="0" borderId="0" xfId="6" applyNumberFormat="1"/>
    <xf numFmtId="169" fontId="11" fillId="0" borderId="0" xfId="6" applyNumberFormat="1"/>
    <xf numFmtId="170" fontId="11" fillId="0" borderId="0" xfId="6" applyNumberFormat="1"/>
    <xf numFmtId="0" fontId="4" fillId="13" borderId="34" xfId="2" applyFont="1" applyFill="1" applyBorder="1" applyAlignment="1"/>
    <xf numFmtId="0" fontId="4" fillId="0" borderId="35" xfId="0" applyNumberFormat="1" applyFont="1" applyBorder="1" applyAlignment="1">
      <alignment vertical="top"/>
    </xf>
    <xf numFmtId="0" fontId="4" fillId="0" borderId="36" xfId="0" applyNumberFormat="1" applyFont="1" applyBorder="1" applyAlignment="1">
      <alignment vertical="top"/>
    </xf>
    <xf numFmtId="0" fontId="4" fillId="0" borderId="34" xfId="2" applyNumberFormat="1" applyFont="1" applyFill="1" applyBorder="1" applyAlignment="1">
      <alignment vertical="top" wrapText="1"/>
    </xf>
    <xf numFmtId="0" fontId="1" fillId="0" borderId="29" xfId="0" applyFont="1" applyBorder="1"/>
    <xf numFmtId="2" fontId="13" fillId="17" borderId="45" xfId="0" applyNumberFormat="1" applyFont="1" applyFill="1" applyBorder="1" applyAlignment="1"/>
    <xf numFmtId="0" fontId="4" fillId="17" borderId="44" xfId="0" applyFont="1" applyFill="1" applyBorder="1" applyAlignment="1"/>
    <xf numFmtId="0" fontId="4" fillId="0" borderId="0" xfId="0" applyFont="1" applyBorder="1" applyAlignment="1"/>
    <xf numFmtId="0" fontId="0" fillId="0" borderId="0" xfId="0" applyFill="1" applyBorder="1"/>
    <xf numFmtId="0" fontId="0" fillId="0" borderId="7" xfId="0" applyFill="1" applyBorder="1"/>
    <xf numFmtId="0" fontId="0" fillId="0" borderId="0" xfId="0" applyFill="1"/>
    <xf numFmtId="0" fontId="0" fillId="0" borderId="63" xfId="0" applyBorder="1"/>
    <xf numFmtId="0" fontId="0" fillId="0" borderId="64" xfId="0" applyBorder="1"/>
    <xf numFmtId="3" fontId="0" fillId="0" borderId="65" xfId="0" applyNumberFormat="1" applyBorder="1"/>
    <xf numFmtId="3" fontId="0" fillId="0" borderId="66" xfId="0" applyNumberFormat="1" applyBorder="1"/>
    <xf numFmtId="0" fontId="0" fillId="0" borderId="66" xfId="0" applyBorder="1"/>
    <xf numFmtId="0" fontId="0" fillId="0" borderId="67" xfId="0" applyBorder="1"/>
    <xf numFmtId="0" fontId="0" fillId="0" borderId="68" xfId="0" applyBorder="1"/>
    <xf numFmtId="0" fontId="0" fillId="0" borderId="69" xfId="0" applyBorder="1"/>
    <xf numFmtId="3" fontId="0" fillId="0" borderId="70" xfId="0" applyNumberFormat="1" applyBorder="1"/>
    <xf numFmtId="0" fontId="0" fillId="0" borderId="34" xfId="0" applyBorder="1"/>
    <xf numFmtId="3" fontId="0" fillId="0" borderId="36" xfId="0" applyNumberFormat="1" applyBorder="1"/>
    <xf numFmtId="0" fontId="0" fillId="0" borderId="71" xfId="0" applyBorder="1"/>
    <xf numFmtId="3" fontId="0" fillId="0" borderId="68" xfId="0" applyNumberFormat="1" applyBorder="1"/>
    <xf numFmtId="0" fontId="0" fillId="0" borderId="72" xfId="0" applyBorder="1"/>
    <xf numFmtId="164" fontId="0" fillId="0" borderId="73" xfId="0" applyNumberFormat="1" applyBorder="1"/>
    <xf numFmtId="164" fontId="0" fillId="0" borderId="74" xfId="0" applyNumberFormat="1" applyBorder="1"/>
    <xf numFmtId="2" fontId="13" fillId="14" borderId="1" xfId="0" applyNumberFormat="1" applyFont="1" applyFill="1" applyBorder="1"/>
    <xf numFmtId="0" fontId="0" fillId="14" borderId="3" xfId="0" applyFill="1" applyBorder="1"/>
    <xf numFmtId="0" fontId="0" fillId="14" borderId="13" xfId="0" applyFill="1" applyBorder="1"/>
    <xf numFmtId="0" fontId="0" fillId="0" borderId="4" xfId="0" applyBorder="1"/>
    <xf numFmtId="0" fontId="0" fillId="0" borderId="5" xfId="0" applyBorder="1"/>
    <xf numFmtId="0" fontId="0" fillId="0" borderId="6" xfId="0" applyBorder="1"/>
    <xf numFmtId="0" fontId="1" fillId="0" borderId="0" xfId="0" applyFont="1" applyBorder="1" applyAlignment="1">
      <alignment wrapText="1"/>
    </xf>
    <xf numFmtId="164" fontId="1" fillId="0" borderId="0" xfId="0" applyNumberFormat="1" applyFont="1" applyBorder="1"/>
    <xf numFmtId="0" fontId="0" fillId="0" borderId="9" xfId="0" applyBorder="1"/>
    <xf numFmtId="164" fontId="0" fillId="5" borderId="8" xfId="0" applyNumberFormat="1" applyFill="1" applyBorder="1"/>
    <xf numFmtId="0" fontId="1" fillId="0" borderId="75" xfId="0" applyFont="1" applyBorder="1"/>
    <xf numFmtId="0" fontId="1" fillId="0" borderId="0" xfId="0" applyFont="1" applyBorder="1"/>
    <xf numFmtId="0" fontId="4" fillId="0" borderId="48" xfId="0" applyFont="1" applyFill="1" applyBorder="1"/>
    <xf numFmtId="0" fontId="4" fillId="0" borderId="46" xfId="0" applyFont="1" applyFill="1" applyBorder="1"/>
    <xf numFmtId="0" fontId="4" fillId="0" borderId="78" xfId="0" applyFont="1" applyBorder="1"/>
    <xf numFmtId="0" fontId="4" fillId="0" borderId="31" xfId="0" applyFont="1" applyFill="1" applyBorder="1"/>
    <xf numFmtId="164" fontId="0" fillId="5" borderId="49" xfId="0" applyNumberFormat="1" applyFill="1" applyBorder="1"/>
    <xf numFmtId="10" fontId="0" fillId="5" borderId="8" xfId="0" applyNumberFormat="1" applyFill="1" applyBorder="1"/>
    <xf numFmtId="164" fontId="0" fillId="5" borderId="32" xfId="0" applyNumberFormat="1" applyFill="1" applyBorder="1"/>
    <xf numFmtId="10" fontId="0" fillId="0" borderId="0" xfId="0" applyNumberFormat="1" applyBorder="1"/>
    <xf numFmtId="2" fontId="31" fillId="0" borderId="0" xfId="0" applyNumberFormat="1" applyFont="1" applyFill="1" applyBorder="1"/>
    <xf numFmtId="0" fontId="4" fillId="0" borderId="29" xfId="0" applyFont="1" applyFill="1" applyBorder="1"/>
    <xf numFmtId="0" fontId="5" fillId="14" borderId="1" xfId="0" applyFont="1" applyFill="1" applyBorder="1"/>
    <xf numFmtId="164" fontId="4" fillId="0" borderId="8" xfId="1" applyNumberFormat="1" applyFont="1" applyFill="1" applyBorder="1"/>
    <xf numFmtId="0" fontId="0" fillId="0" borderId="0" xfId="0" applyFill="1"/>
    <xf numFmtId="3" fontId="4" fillId="0" borderId="8" xfId="0" applyNumberFormat="1" applyFont="1" applyBorder="1" applyAlignment="1">
      <alignment vertical="top" wrapText="1"/>
    </xf>
    <xf numFmtId="165" fontId="4" fillId="0" borderId="8" xfId="0" applyNumberFormat="1" applyFont="1" applyFill="1" applyBorder="1"/>
    <xf numFmtId="2" fontId="0" fillId="5" borderId="8" xfId="0" applyNumberFormat="1" applyFill="1" applyBorder="1"/>
    <xf numFmtId="1" fontId="0" fillId="0" borderId="8" xfId="0" applyNumberFormat="1" applyBorder="1"/>
    <xf numFmtId="0" fontId="0" fillId="0" borderId="52" xfId="0" applyFill="1" applyBorder="1"/>
    <xf numFmtId="0" fontId="0" fillId="0" borderId="53" xfId="0" applyBorder="1"/>
    <xf numFmtId="0" fontId="0" fillId="0" borderId="52" xfId="0" applyBorder="1"/>
    <xf numFmtId="0" fontId="0" fillId="0" borderId="54" xfId="0" applyBorder="1"/>
    <xf numFmtId="0" fontId="0" fillId="5" borderId="55" xfId="0" applyFill="1" applyBorder="1"/>
    <xf numFmtId="0" fontId="0" fillId="0" borderId="55" xfId="0" applyBorder="1"/>
    <xf numFmtId="0" fontId="0" fillId="0" borderId="56" xfId="0" applyBorder="1"/>
    <xf numFmtId="0" fontId="0" fillId="0" borderId="32" xfId="0" applyFill="1" applyBorder="1"/>
    <xf numFmtId="0" fontId="4" fillId="0" borderId="0" xfId="0" applyFont="1" applyFill="1" applyBorder="1" applyAlignment="1"/>
    <xf numFmtId="3" fontId="36" fillId="0" borderId="8" xfId="0" applyNumberFormat="1" applyFont="1" applyFill="1" applyBorder="1"/>
    <xf numFmtId="2" fontId="36" fillId="0" borderId="8" xfId="0" applyNumberFormat="1" applyFont="1" applyFill="1" applyBorder="1"/>
    <xf numFmtId="167" fontId="36" fillId="0" borderId="8" xfId="0" applyNumberFormat="1" applyFont="1" applyFill="1" applyBorder="1"/>
    <xf numFmtId="0" fontId="41" fillId="21" borderId="0" xfId="0" applyFont="1" applyFill="1"/>
    <xf numFmtId="0" fontId="36" fillId="21" borderId="0" xfId="0" applyFont="1" applyFill="1"/>
    <xf numFmtId="3" fontId="4" fillId="0" borderId="8" xfId="2" applyNumberFormat="1" applyFont="1" applyBorder="1"/>
    <xf numFmtId="2" fontId="0" fillId="2" borderId="8" xfId="0" applyNumberFormat="1" applyFill="1" applyBorder="1"/>
    <xf numFmtId="167" fontId="0" fillId="2" borderId="8" xfId="0" applyNumberFormat="1" applyFill="1" applyBorder="1"/>
    <xf numFmtId="164" fontId="0" fillId="2" borderId="8" xfId="0" applyNumberFormat="1" applyFill="1" applyBorder="1"/>
    <xf numFmtId="2" fontId="4" fillId="0" borderId="0" xfId="0" applyNumberFormat="1" applyFont="1" applyFill="1" applyAlignment="1"/>
    <xf numFmtId="171" fontId="30" fillId="0" borderId="0" xfId="0" applyNumberFormat="1" applyFont="1"/>
    <xf numFmtId="2" fontId="0" fillId="0" borderId="8" xfId="0" applyNumberFormat="1" applyFill="1" applyBorder="1"/>
    <xf numFmtId="167" fontId="0" fillId="0" borderId="8" xfId="0" applyNumberFormat="1" applyFill="1" applyBorder="1"/>
    <xf numFmtId="164" fontId="0" fillId="0" borderId="8" xfId="0" applyNumberFormat="1" applyFill="1" applyBorder="1"/>
    <xf numFmtId="165" fontId="0" fillId="5" borderId="8" xfId="0" applyNumberFormat="1" applyFill="1" applyBorder="1"/>
    <xf numFmtId="165" fontId="4" fillId="5" borderId="8" xfId="0" applyNumberFormat="1" applyFont="1" applyFill="1" applyBorder="1"/>
    <xf numFmtId="0" fontId="1" fillId="0" borderId="76" xfId="0" applyFont="1" applyBorder="1"/>
    <xf numFmtId="0" fontId="1" fillId="0" borderId="77" xfId="0" applyFont="1" applyBorder="1"/>
    <xf numFmtId="0" fontId="0" fillId="23" borderId="0" xfId="0" applyFill="1"/>
    <xf numFmtId="0" fontId="0" fillId="23" borderId="49" xfId="0" applyFill="1" applyBorder="1"/>
    <xf numFmtId="0" fontId="0" fillId="0" borderId="55" xfId="0" applyFill="1" applyBorder="1"/>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 fillId="0" borderId="0" xfId="0" applyFont="1" applyAlignment="1">
      <alignment wrapText="1"/>
    </xf>
    <xf numFmtId="0" fontId="1" fillId="0" borderId="10" xfId="0" applyFont="1" applyBorder="1" applyAlignment="1">
      <alignment wrapText="1"/>
    </xf>
    <xf numFmtId="0" fontId="4" fillId="0" borderId="4" xfId="0" applyFont="1" applyBorder="1" applyAlignment="1">
      <alignment horizontal="left" vertical="top" wrapText="1"/>
    </xf>
    <xf numFmtId="0" fontId="0" fillId="0" borderId="0" xfId="0" applyAlignment="1">
      <alignment wrapText="1"/>
    </xf>
    <xf numFmtId="0" fontId="0" fillId="0" borderId="10" xfId="0" applyBorder="1" applyAlignment="1">
      <alignment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Border="1" applyAlignment="1">
      <alignment horizontal="left" vertical="top" wrapText="1"/>
    </xf>
    <xf numFmtId="0" fontId="0" fillId="0" borderId="7" xfId="0"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0" fillId="0" borderId="5" xfId="0" applyBorder="1" applyAlignment="1">
      <alignment wrapText="1"/>
    </xf>
    <xf numFmtId="0" fontId="0" fillId="0" borderId="6" xfId="0" applyBorder="1" applyAlignment="1">
      <alignment wrapText="1"/>
    </xf>
    <xf numFmtId="0" fontId="0" fillId="0" borderId="0" xfId="0" applyBorder="1" applyAlignment="1">
      <alignment wrapText="1"/>
    </xf>
    <xf numFmtId="0" fontId="0" fillId="0" borderId="7" xfId="0" applyBorder="1" applyAlignment="1">
      <alignment wrapText="1"/>
    </xf>
    <xf numFmtId="0" fontId="0" fillId="0" borderId="11" xfId="0" applyBorder="1" applyAlignment="1">
      <alignment wrapText="1"/>
    </xf>
    <xf numFmtId="0" fontId="32" fillId="11" borderId="4" xfId="0" applyFont="1" applyFill="1" applyBorder="1" applyAlignment="1"/>
    <xf numFmtId="0" fontId="32" fillId="11" borderId="5" xfId="0" applyFont="1" applyFill="1" applyBorder="1" applyAlignment="1"/>
    <xf numFmtId="0" fontId="32" fillId="11" borderId="6" xfId="0" applyFont="1" applyFill="1" applyBorder="1" applyAlignment="1"/>
    <xf numFmtId="0" fontId="0" fillId="6" borderId="16" xfId="0" applyFill="1" applyBorder="1" applyAlignment="1"/>
    <xf numFmtId="0" fontId="0" fillId="6" borderId="15" xfId="0" applyFill="1" applyBorder="1" applyAlignment="1"/>
    <xf numFmtId="0" fontId="0" fillId="6" borderId="17" xfId="0" applyFill="1" applyBorder="1" applyAlignment="1"/>
    <xf numFmtId="49" fontId="13" fillId="3" borderId="1" xfId="0" applyNumberFormat="1" applyFont="1" applyFill="1" applyBorder="1" applyAlignment="1">
      <alignment vertical="top"/>
    </xf>
    <xf numFmtId="49" fontId="13" fillId="3" borderId="3" xfId="0" applyNumberFormat="1" applyFont="1" applyFill="1" applyBorder="1" applyAlignment="1">
      <alignment vertical="top"/>
    </xf>
    <xf numFmtId="0" fontId="0" fillId="0" borderId="4" xfId="0" applyBorder="1" applyAlignment="1">
      <alignment wrapText="1"/>
    </xf>
    <xf numFmtId="0" fontId="0" fillId="0" borderId="5" xfId="0" applyBorder="1" applyAlignment="1"/>
    <xf numFmtId="0" fontId="0" fillId="0" borderId="6" xfId="0" applyBorder="1" applyAlignment="1"/>
    <xf numFmtId="0" fontId="26" fillId="0" borderId="8" xfId="0" applyFont="1" applyBorder="1" applyAlignment="1">
      <alignment horizontal="left" wrapText="1"/>
    </xf>
    <xf numFmtId="0" fontId="1" fillId="0" borderId="8" xfId="0" applyFont="1" applyBorder="1" applyAlignment="1">
      <alignment horizontal="left" wrapText="1"/>
    </xf>
    <xf numFmtId="0" fontId="1" fillId="0" borderId="25" xfId="0" applyFont="1" applyBorder="1" applyAlignment="1"/>
    <xf numFmtId="0" fontId="1" fillId="0" borderId="49" xfId="0" applyFont="1" applyBorder="1" applyAlignment="1"/>
    <xf numFmtId="0" fontId="5" fillId="9" borderId="79" xfId="0" applyFont="1" applyFill="1" applyBorder="1" applyAlignment="1"/>
    <xf numFmtId="0" fontId="0" fillId="0" borderId="80" xfId="0" applyBorder="1" applyAlignment="1"/>
    <xf numFmtId="0" fontId="0" fillId="0" borderId="81" xfId="0" applyBorder="1" applyAlignment="1"/>
    <xf numFmtId="0" fontId="0" fillId="10" borderId="82" xfId="0" applyFill="1" applyBorder="1" applyAlignment="1"/>
    <xf numFmtId="0" fontId="0" fillId="0" borderId="35" xfId="0" applyBorder="1" applyAlignment="1"/>
    <xf numFmtId="0" fontId="0" fillId="0" borderId="83" xfId="0" applyBorder="1" applyAlignment="1"/>
    <xf numFmtId="0" fontId="4" fillId="6" borderId="34" xfId="2" applyNumberFormat="1" applyFont="1" applyFill="1" applyBorder="1" applyAlignment="1">
      <alignment vertical="top" wrapText="1"/>
    </xf>
    <xf numFmtId="0" fontId="4" fillId="0" borderId="35" xfId="0" applyNumberFormat="1" applyFont="1" applyBorder="1" applyAlignment="1">
      <alignment vertical="top"/>
    </xf>
    <xf numFmtId="0" fontId="4" fillId="0" borderId="36" xfId="0" applyNumberFormat="1" applyFont="1" applyBorder="1" applyAlignment="1">
      <alignment vertical="top"/>
    </xf>
    <xf numFmtId="0" fontId="38" fillId="0" borderId="34" xfId="0" applyFont="1" applyBorder="1" applyAlignment="1"/>
    <xf numFmtId="0" fontId="38" fillId="0" borderId="35" xfId="0" applyFont="1" applyBorder="1" applyAlignment="1"/>
    <xf numFmtId="0" fontId="38" fillId="0" borderId="36" xfId="0" applyFont="1" applyBorder="1" applyAlignment="1"/>
    <xf numFmtId="0" fontId="2" fillId="0" borderId="29" xfId="0" applyFont="1" applyBorder="1" applyAlignment="1"/>
    <xf numFmtId="0" fontId="2" fillId="0" borderId="8" xfId="0" applyFont="1" applyBorder="1" applyAlignment="1"/>
    <xf numFmtId="0" fontId="2" fillId="0" borderId="20" xfId="0" applyFont="1" applyBorder="1" applyAlignment="1"/>
    <xf numFmtId="0" fontId="5" fillId="11" borderId="38" xfId="0" applyFont="1" applyFill="1" applyBorder="1" applyAlignment="1"/>
    <xf numFmtId="0" fontId="0" fillId="11" borderId="39" xfId="0" applyFill="1" applyBorder="1" applyAlignment="1"/>
    <xf numFmtId="0" fontId="0" fillId="11" borderId="40" xfId="0" applyFill="1" applyBorder="1" applyAlignment="1"/>
    <xf numFmtId="0" fontId="0" fillId="6" borderId="2" xfId="0" applyFill="1" applyBorder="1"/>
    <xf numFmtId="0" fontId="0" fillId="6" borderId="0" xfId="0" applyFill="1" applyBorder="1"/>
    <xf numFmtId="0" fontId="0" fillId="6" borderId="7" xfId="0" applyFill="1" applyBorder="1"/>
    <xf numFmtId="0" fontId="0" fillId="13" borderId="0" xfId="0" applyFill="1"/>
    <xf numFmtId="0" fontId="13" fillId="12" borderId="38" xfId="0" applyFont="1" applyFill="1" applyBorder="1" applyAlignment="1"/>
    <xf numFmtId="0" fontId="4" fillId="12" borderId="39" xfId="0" applyFont="1" applyFill="1" applyBorder="1" applyAlignment="1"/>
    <xf numFmtId="3" fontId="13" fillId="11" borderId="21" xfId="0" applyNumberFormat="1" applyFont="1" applyFill="1" applyBorder="1" applyAlignment="1"/>
    <xf numFmtId="0" fontId="13" fillId="11" borderId="22" xfId="0" applyFont="1" applyFill="1" applyBorder="1" applyAlignment="1"/>
    <xf numFmtId="0" fontId="13" fillId="11" borderId="23" xfId="0" applyFont="1" applyFill="1" applyBorder="1" applyAlignment="1"/>
    <xf numFmtId="0" fontId="0" fillId="0" borderId="31" xfId="0" applyBorder="1" applyAlignment="1"/>
    <xf numFmtId="0" fontId="0" fillId="0" borderId="32" xfId="0" applyBorder="1" applyAlignment="1"/>
    <xf numFmtId="0" fontId="23" fillId="9" borderId="21" xfId="0" applyFont="1" applyFill="1" applyBorder="1" applyAlignment="1"/>
    <xf numFmtId="0" fontId="22" fillId="9" borderId="22" xfId="0" applyFont="1" applyFill="1" applyBorder="1" applyAlignment="1"/>
    <xf numFmtId="0" fontId="22" fillId="9" borderId="23" xfId="0" applyFont="1" applyFill="1" applyBorder="1" applyAlignment="1"/>
    <xf numFmtId="0" fontId="4" fillId="10" borderId="29" xfId="0" applyFont="1" applyFill="1" applyBorder="1" applyAlignment="1"/>
    <xf numFmtId="0" fontId="4" fillId="10" borderId="8" xfId="0" applyFont="1" applyFill="1" applyBorder="1" applyAlignment="1"/>
    <xf numFmtId="0" fontId="4" fillId="10" borderId="20" xfId="0" applyFont="1" applyFill="1" applyBorder="1" applyAlignment="1"/>
    <xf numFmtId="3" fontId="5" fillId="11" borderId="21" xfId="0" applyNumberFormat="1" applyFont="1" applyFill="1" applyBorder="1" applyAlignment="1"/>
    <xf numFmtId="0" fontId="5" fillId="11" borderId="22" xfId="0" applyFont="1" applyFill="1" applyBorder="1" applyAlignment="1"/>
    <xf numFmtId="0" fontId="5" fillId="11" borderId="23" xfId="0" applyFont="1" applyFill="1" applyBorder="1" applyAlignment="1"/>
    <xf numFmtId="0" fontId="24" fillId="0" borderId="41" xfId="6" applyFont="1" applyBorder="1"/>
    <xf numFmtId="170" fontId="4" fillId="5" borderId="84" xfId="0" applyNumberFormat="1" applyFont="1" applyFill="1" applyBorder="1"/>
    <xf numFmtId="0" fontId="0" fillId="0" borderId="85" xfId="0" applyBorder="1"/>
    <xf numFmtId="0" fontId="31" fillId="0" borderId="85" xfId="0" applyFont="1" applyBorder="1"/>
    <xf numFmtId="0" fontId="0" fillId="12" borderId="81" xfId="0" applyFill="1" applyBorder="1"/>
    <xf numFmtId="0" fontId="0" fillId="13" borderId="83" xfId="0" applyFill="1" applyBorder="1"/>
    <xf numFmtId="0" fontId="24" fillId="0" borderId="86" xfId="6" applyFont="1" applyFill="1" applyBorder="1"/>
  </cellXfs>
  <cellStyles count="8">
    <cellStyle name="Hyperlänk" xfId="2" builtinId="8"/>
    <cellStyle name="Hyperlänk 2" xfId="3" xr:uid="{B5C532C4-E6F0-4EEE-A7F3-9D509A9C408D}"/>
    <cellStyle name="Normal" xfId="0" builtinId="0"/>
    <cellStyle name="Normal 2" xfId="6" xr:uid="{346A355A-52CB-4BD5-8991-5BCC4C307C5B}"/>
    <cellStyle name="Normal 2 2" xfId="5" xr:uid="{7EE61CAB-D654-445D-8788-7B49DF8409F6}"/>
    <cellStyle name="Normal 3" xfId="7" xr:uid="{17B98687-451B-4C94-9A69-A922023DD803}"/>
    <cellStyle name="Normal 4" xfId="4" xr:uid="{B93CEBF1-DABF-46DC-800A-A6B34EAE864E}"/>
    <cellStyle name="Procent" xfId="1" builtinId="5"/>
  </cellStyles>
  <dxfs count="0"/>
  <tableStyles count="0" defaultTableStyle="TableStyleMedium2" defaultPivotStyle="PivotStyleLight16"/>
  <colors>
    <mruColors>
      <color rgb="FFFFCCFF"/>
      <color rgb="FF33CCCC"/>
      <color rgb="FFC8A5E3"/>
      <color rgb="FFBA8CDC"/>
      <color rgb="FFFEC7B8"/>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baseline="0"/>
              <a:t>Energianvändning</a:t>
            </a:r>
            <a:endParaRPr lang="sv-SE"/>
          </a:p>
        </c:rich>
      </c:tx>
      <c:overlay val="0"/>
    </c:title>
    <c:autoTitleDeleted val="0"/>
    <c:plotArea>
      <c:layout>
        <c:manualLayout>
          <c:layoutTarget val="inner"/>
          <c:xMode val="edge"/>
          <c:yMode val="edge"/>
          <c:x val="0.12741131340482906"/>
          <c:y val="0.10605557833468222"/>
          <c:w val="0.84658392814020378"/>
          <c:h val="0.78451358537852578"/>
        </c:manualLayout>
      </c:layout>
      <c:barChart>
        <c:barDir val="col"/>
        <c:grouping val="stacked"/>
        <c:varyColors val="0"/>
        <c:ser>
          <c:idx val="0"/>
          <c:order val="0"/>
          <c:tx>
            <c:strRef>
              <c:f>'El och Uppvärmning'!$I$13</c:f>
              <c:strCache>
                <c:ptCount val="1"/>
                <c:pt idx="0">
                  <c:v>Fossilt </c:v>
                </c:pt>
              </c:strCache>
            </c:strRef>
          </c:tx>
          <c:spPr>
            <a:solidFill>
              <a:schemeClr val="tx1"/>
            </a:solidFill>
          </c:spPr>
          <c:invertIfNegative val="0"/>
          <c:cat>
            <c:numRef>
              <c:f>'El och Uppvärmning'!$H$14:$H$16</c:f>
              <c:numCache>
                <c:formatCode>General</c:formatCode>
                <c:ptCount val="3"/>
                <c:pt idx="0">
                  <c:v>0</c:v>
                </c:pt>
                <c:pt idx="1">
                  <c:v>0</c:v>
                </c:pt>
                <c:pt idx="2">
                  <c:v>0</c:v>
                </c:pt>
              </c:numCache>
            </c:numRef>
          </c:cat>
          <c:val>
            <c:numRef>
              <c:f>'El och Uppvärmning'!$I$14:$I$16</c:f>
              <c:numCache>
                <c:formatCode>#,##0</c:formatCode>
                <c:ptCount val="3"/>
                <c:pt idx="0">
                  <c:v>0</c:v>
                </c:pt>
                <c:pt idx="1">
                  <c:v>0</c:v>
                </c:pt>
                <c:pt idx="2">
                  <c:v>0</c:v>
                </c:pt>
              </c:numCache>
            </c:numRef>
          </c:val>
          <c:extLst>
            <c:ext xmlns:c16="http://schemas.microsoft.com/office/drawing/2014/chart" uri="{C3380CC4-5D6E-409C-BE32-E72D297353CC}">
              <c16:uniqueId val="{00000000-251C-46C5-922C-5953FA00F92D}"/>
            </c:ext>
          </c:extLst>
        </c:ser>
        <c:ser>
          <c:idx val="1"/>
          <c:order val="1"/>
          <c:tx>
            <c:strRef>
              <c:f>'El och Uppvärmning'!$J$13</c:f>
              <c:strCache>
                <c:ptCount val="1"/>
                <c:pt idx="0">
                  <c:v>Fossilbränslefritt</c:v>
                </c:pt>
              </c:strCache>
            </c:strRef>
          </c:tx>
          <c:spPr>
            <a:solidFill>
              <a:schemeClr val="accent6"/>
            </a:solidFill>
          </c:spPr>
          <c:invertIfNegative val="0"/>
          <c:cat>
            <c:numRef>
              <c:f>'El och Uppvärmning'!$H$14:$H$16</c:f>
              <c:numCache>
                <c:formatCode>General</c:formatCode>
                <c:ptCount val="3"/>
                <c:pt idx="0">
                  <c:v>0</c:v>
                </c:pt>
                <c:pt idx="1">
                  <c:v>0</c:v>
                </c:pt>
                <c:pt idx="2">
                  <c:v>0</c:v>
                </c:pt>
              </c:numCache>
            </c:numRef>
          </c:cat>
          <c:val>
            <c:numRef>
              <c:f>'El och Uppvärmning'!$J$14:$J$16</c:f>
              <c:numCache>
                <c:formatCode>#,##0</c:formatCode>
                <c:ptCount val="3"/>
                <c:pt idx="0">
                  <c:v>0</c:v>
                </c:pt>
                <c:pt idx="1">
                  <c:v>0</c:v>
                </c:pt>
                <c:pt idx="2">
                  <c:v>0</c:v>
                </c:pt>
              </c:numCache>
            </c:numRef>
          </c:val>
          <c:extLst>
            <c:ext xmlns:c16="http://schemas.microsoft.com/office/drawing/2014/chart" uri="{C3380CC4-5D6E-409C-BE32-E72D297353CC}">
              <c16:uniqueId val="{00000001-251C-46C5-922C-5953FA00F92D}"/>
            </c:ext>
          </c:extLst>
        </c:ser>
        <c:dLbls>
          <c:showLegendKey val="0"/>
          <c:showVal val="0"/>
          <c:showCatName val="0"/>
          <c:showSerName val="0"/>
          <c:showPercent val="0"/>
          <c:showBubbleSize val="0"/>
        </c:dLbls>
        <c:gapWidth val="95"/>
        <c:overlap val="100"/>
        <c:axId val="184311168"/>
        <c:axId val="184312960"/>
      </c:barChart>
      <c:catAx>
        <c:axId val="184311168"/>
        <c:scaling>
          <c:orientation val="minMax"/>
        </c:scaling>
        <c:delete val="0"/>
        <c:axPos val="b"/>
        <c:numFmt formatCode="General" sourceLinked="1"/>
        <c:majorTickMark val="none"/>
        <c:minorTickMark val="none"/>
        <c:tickLblPos val="nextTo"/>
        <c:txPr>
          <a:bodyPr/>
          <a:lstStyle/>
          <a:p>
            <a:pPr>
              <a:defRPr sz="1200"/>
            </a:pPr>
            <a:endParaRPr lang="sv-SE"/>
          </a:p>
        </c:txPr>
        <c:crossAx val="184312960"/>
        <c:crosses val="autoZero"/>
        <c:auto val="1"/>
        <c:lblAlgn val="ctr"/>
        <c:lblOffset val="100"/>
        <c:noMultiLvlLbl val="0"/>
      </c:catAx>
      <c:valAx>
        <c:axId val="184312960"/>
        <c:scaling>
          <c:orientation val="minMax"/>
        </c:scaling>
        <c:delete val="0"/>
        <c:axPos val="l"/>
        <c:majorGridlines/>
        <c:title>
          <c:tx>
            <c:rich>
              <a:bodyPr rot="0" vert="horz"/>
              <a:lstStyle/>
              <a:p>
                <a:pPr>
                  <a:defRPr/>
                </a:pPr>
                <a:r>
                  <a:rPr lang="en-US" sz="1200"/>
                  <a:t>[kWh]</a:t>
                </a:r>
              </a:p>
            </c:rich>
          </c:tx>
          <c:layout>
            <c:manualLayout>
              <c:xMode val="edge"/>
              <c:yMode val="edge"/>
              <c:x val="4.2307177666140172E-2"/>
              <c:y val="3.5546133656369903E-2"/>
            </c:manualLayout>
          </c:layout>
          <c:overlay val="0"/>
        </c:title>
        <c:numFmt formatCode="#,##0" sourceLinked="1"/>
        <c:majorTickMark val="none"/>
        <c:minorTickMark val="none"/>
        <c:tickLblPos val="nextTo"/>
        <c:crossAx val="184311168"/>
        <c:crosses val="autoZero"/>
        <c:crossBetween val="between"/>
      </c:valAx>
    </c:plotArea>
    <c:plotVisOnly val="1"/>
    <c:dispBlanksAs val="gap"/>
    <c:showDLblsOverMax val="0"/>
  </c:chart>
  <c:printSettings>
    <c:headerFooter/>
    <c:pageMargins b="0.750000000000002" l="0.70000000000000062" r="0.70000000000000062" t="0.75000000000000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Elanvändning</a:t>
            </a:r>
          </a:p>
          <a:p>
            <a:pPr>
              <a:defRPr sz="1400" b="1" i="0" u="none" strike="noStrike" kern="1200" spc="0" baseline="0">
                <a:solidFill>
                  <a:schemeClr val="tx1">
                    <a:lumMod val="65000"/>
                    <a:lumOff val="35000"/>
                  </a:schemeClr>
                </a:solidFill>
                <a:latin typeface="+mn-lt"/>
                <a:ea typeface="+mn-ea"/>
                <a:cs typeface="+mn-cs"/>
              </a:defRPr>
            </a:pPr>
            <a:r>
              <a:rPr lang="sv-SE" sz="1000" b="1"/>
              <a:t>-inköpt och egenproducerad</a:t>
            </a:r>
            <a:r>
              <a:rPr lang="sv-SE" sz="1000" b="1" baseline="0"/>
              <a:t> (kWh)</a:t>
            </a:r>
            <a:endParaRPr lang="sv-SE" sz="1000" b="1"/>
          </a:p>
        </c:rich>
      </c:tx>
      <c:overlay val="0"/>
      <c:spPr>
        <a:noFill/>
        <a:ln>
          <a:noFill/>
        </a:ln>
        <a:effectLst/>
      </c:spPr>
    </c:title>
    <c:autoTitleDeleted val="0"/>
    <c:plotArea>
      <c:layout/>
      <c:pieChart>
        <c:varyColors val="1"/>
        <c:ser>
          <c:idx val="1"/>
          <c:order val="0"/>
          <c:spPr>
            <a:solidFill>
              <a:srgbClr val="33CCFF"/>
            </a:solidFill>
          </c:spPr>
          <c:dPt>
            <c:idx val="0"/>
            <c:bubble3D val="0"/>
            <c:spPr>
              <a:solidFill>
                <a:srgbClr val="33CCCC"/>
              </a:solidFill>
            </c:spPr>
            <c:extLst>
              <c:ext xmlns:c16="http://schemas.microsoft.com/office/drawing/2014/chart" uri="{C3380CC4-5D6E-409C-BE32-E72D297353CC}">
                <c16:uniqueId val="{00000013-589F-4D5C-AA75-6307503866A9}"/>
              </c:ext>
            </c:extLst>
          </c:dPt>
          <c:dPt>
            <c:idx val="1"/>
            <c:bubble3D val="0"/>
            <c:spPr>
              <a:solidFill>
                <a:schemeClr val="tx1"/>
              </a:solidFill>
            </c:spPr>
            <c:extLst>
              <c:ext xmlns:c16="http://schemas.microsoft.com/office/drawing/2014/chart" uri="{C3380CC4-5D6E-409C-BE32-E72D297353CC}">
                <c16:uniqueId val="{00000014-589F-4D5C-AA75-6307503866A9}"/>
              </c:ext>
            </c:extLst>
          </c:dPt>
          <c:dLbls>
            <c:spPr>
              <a:noFill/>
              <a:ln>
                <a:noFill/>
              </a:ln>
              <a:effectLst/>
            </c:spPr>
            <c:txPr>
              <a:bodyPr wrap="square" lIns="38100" tIns="19050" rIns="38100" bIns="19050" anchor="ctr">
                <a:spAutoFit/>
              </a:bodyPr>
              <a:lstStyle/>
              <a:p>
                <a:pPr>
                  <a:defRPr>
                    <a:solidFill>
                      <a:schemeClr val="bg1"/>
                    </a:solidFill>
                  </a:defRPr>
                </a:pPr>
                <a:endParaRPr lang="sv-SE"/>
              </a:p>
            </c:txPr>
            <c:showLegendKey val="0"/>
            <c:showVal val="1"/>
            <c:showCatName val="0"/>
            <c:showSerName val="0"/>
            <c:showPercent val="0"/>
            <c:showBubbleSize val="0"/>
            <c:showLeaderLines val="1"/>
            <c:extLst>
              <c:ext xmlns:c15="http://schemas.microsoft.com/office/drawing/2012/chart" uri="{CE6537A1-D6FC-4f65-9D91-7224C49458BB}"/>
            </c:extLst>
          </c:dLbls>
          <c:cat>
            <c:strRef>
              <c:f>'El och Uppvärmning'!$I$20:$I$21</c:f>
              <c:strCache>
                <c:ptCount val="2"/>
                <c:pt idx="0">
                  <c:v>Fossilbränslefri el</c:v>
                </c:pt>
                <c:pt idx="1">
                  <c:v>Fossil el</c:v>
                </c:pt>
              </c:strCache>
            </c:strRef>
          </c:cat>
          <c:val>
            <c:numRef>
              <c:f>'El och Uppvärmning'!$J$20:$J$21</c:f>
              <c:numCache>
                <c:formatCode>0.0%</c:formatCode>
                <c:ptCount val="2"/>
                <c:pt idx="0">
                  <c:v>0</c:v>
                </c:pt>
                <c:pt idx="1">
                  <c:v>0</c:v>
                </c:pt>
              </c:numCache>
            </c:numRef>
          </c:val>
          <c:extLst>
            <c:ext xmlns:c16="http://schemas.microsoft.com/office/drawing/2014/chart" uri="{C3380CC4-5D6E-409C-BE32-E72D297353CC}">
              <c16:uniqueId val="{00000012-589F-4D5C-AA75-6307503866A9}"/>
            </c:ext>
          </c:extLst>
        </c:ser>
        <c:ser>
          <c:idx val="2"/>
          <c:order val="1"/>
          <c:dPt>
            <c:idx val="0"/>
            <c:bubble3D val="0"/>
            <c:spPr>
              <a:solidFill>
                <a:schemeClr val="accent6"/>
              </a:solidFill>
              <a:ln w="19050">
                <a:solidFill>
                  <a:schemeClr val="lt1"/>
                </a:solidFill>
              </a:ln>
              <a:effectLst/>
            </c:spPr>
            <c:extLst>
              <c:ext xmlns:c16="http://schemas.microsoft.com/office/drawing/2014/chart" uri="{C3380CC4-5D6E-409C-BE32-E72D297353CC}">
                <c16:uniqueId val="{00000016-589F-4D5C-AA75-6307503866A9}"/>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7-589F-4D5C-AA75-6307503866A9}"/>
              </c:ext>
            </c:extLst>
          </c:dPt>
          <c:cat>
            <c:strRef>
              <c:f>'El och Uppvärmning'!$I$20:$I$21</c:f>
              <c:strCache>
                <c:ptCount val="2"/>
                <c:pt idx="0">
                  <c:v>Fossilbränslefri el</c:v>
                </c:pt>
                <c:pt idx="1">
                  <c:v>Fossil el</c:v>
                </c:pt>
              </c:strCache>
            </c:strRef>
          </c:cat>
          <c:val>
            <c:numRef>
              <c:f>'El och Uppvärmning'!$J$20:$J$21</c:f>
              <c:numCache>
                <c:formatCode>0.0%</c:formatCode>
                <c:ptCount val="2"/>
                <c:pt idx="0">
                  <c:v>0</c:v>
                </c:pt>
                <c:pt idx="1">
                  <c:v>0</c:v>
                </c:pt>
              </c:numCache>
            </c:numRef>
          </c:val>
          <c:extLst>
            <c:ext xmlns:c16="http://schemas.microsoft.com/office/drawing/2014/chart" uri="{C3380CC4-5D6E-409C-BE32-E72D297353CC}">
              <c16:uniqueId val="{00000015-589F-4D5C-AA75-6307503866A9}"/>
            </c:ext>
          </c:extLst>
        </c:ser>
        <c:ser>
          <c:idx val="0"/>
          <c:order val="2"/>
          <c:dPt>
            <c:idx val="0"/>
            <c:bubble3D val="0"/>
            <c:spPr>
              <a:solidFill>
                <a:schemeClr val="accent6"/>
              </a:solidFill>
              <a:ln w="19050">
                <a:solidFill>
                  <a:schemeClr val="lt1"/>
                </a:solidFill>
              </a:ln>
              <a:effectLst/>
            </c:spPr>
            <c:extLst>
              <c:ext xmlns:c16="http://schemas.microsoft.com/office/drawing/2014/chart" uri="{C3380CC4-5D6E-409C-BE32-E72D297353CC}">
                <c16:uniqueId val="{0000000E-589F-4D5C-AA75-6307503866A9}"/>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589F-4D5C-AA75-6307503866A9}"/>
              </c:ext>
            </c:extLst>
          </c:dPt>
          <c:cat>
            <c:strRef>
              <c:f>'El och Uppvärmning'!$I$20:$I$21</c:f>
              <c:strCache>
                <c:ptCount val="2"/>
                <c:pt idx="0">
                  <c:v>Fossilbränslefri el</c:v>
                </c:pt>
                <c:pt idx="1">
                  <c:v>Fossil el</c:v>
                </c:pt>
              </c:strCache>
            </c:strRef>
          </c:cat>
          <c:val>
            <c:numRef>
              <c:f>'El och Uppvärmning'!$J$20:$J$21</c:f>
              <c:numCache>
                <c:formatCode>0.0%</c:formatCode>
                <c:ptCount val="2"/>
                <c:pt idx="0">
                  <c:v>0</c:v>
                </c:pt>
                <c:pt idx="1">
                  <c:v>0</c:v>
                </c:pt>
              </c:numCache>
            </c:numRef>
          </c:val>
          <c:extLst>
            <c:ext xmlns:c16="http://schemas.microsoft.com/office/drawing/2014/chart" uri="{C3380CC4-5D6E-409C-BE32-E72D297353CC}">
              <c16:uniqueId val="{00000011-589F-4D5C-AA75-6307503866A9}"/>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extLst/>
  </c:chart>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sv-SE" b="1"/>
              <a:t>Uppvärmning</a:t>
            </a:r>
          </a:p>
          <a:p>
            <a:pPr>
              <a:defRPr sz="1400" b="1" i="0" u="none" strike="noStrike" kern="1200" spc="0" baseline="0">
                <a:solidFill>
                  <a:schemeClr val="tx1">
                    <a:lumMod val="65000"/>
                    <a:lumOff val="35000"/>
                  </a:schemeClr>
                </a:solidFill>
                <a:latin typeface="+mn-lt"/>
                <a:ea typeface="+mn-ea"/>
                <a:cs typeface="+mn-cs"/>
              </a:defRPr>
            </a:pPr>
            <a:r>
              <a:rPr lang="sv-SE" sz="1000" b="1"/>
              <a:t>-inköpt och egenproducerad</a:t>
            </a:r>
            <a:r>
              <a:rPr lang="sv-SE" sz="1000" b="1" baseline="0"/>
              <a:t> (kWh)</a:t>
            </a:r>
            <a:endParaRPr lang="sv-SE" sz="1000" b="1"/>
          </a:p>
        </c:rich>
      </c:tx>
      <c:overlay val="0"/>
      <c:spPr>
        <a:noFill/>
        <a:ln>
          <a:noFill/>
        </a:ln>
        <a:effectLst/>
      </c:spPr>
    </c:title>
    <c:autoTitleDeleted val="0"/>
    <c:plotArea>
      <c:layout/>
      <c:pieChart>
        <c:varyColors val="1"/>
        <c:ser>
          <c:idx val="1"/>
          <c:order val="0"/>
          <c:dPt>
            <c:idx val="0"/>
            <c:bubble3D val="0"/>
            <c:spPr>
              <a:solidFill>
                <a:srgbClr val="33CCCC"/>
              </a:solidFill>
            </c:spPr>
            <c:extLst>
              <c:ext xmlns:c16="http://schemas.microsoft.com/office/drawing/2014/chart" uri="{C3380CC4-5D6E-409C-BE32-E72D297353CC}">
                <c16:uniqueId val="{00000001-B91B-411F-A4B2-7F128A7706CD}"/>
              </c:ext>
            </c:extLst>
          </c:dPt>
          <c:dPt>
            <c:idx val="1"/>
            <c:bubble3D val="0"/>
            <c:spPr>
              <a:solidFill>
                <a:schemeClr val="tx1"/>
              </a:solidFill>
            </c:spPr>
            <c:extLst>
              <c:ext xmlns:c16="http://schemas.microsoft.com/office/drawing/2014/chart" uri="{C3380CC4-5D6E-409C-BE32-E72D297353CC}">
                <c16:uniqueId val="{00000003-B91B-411F-A4B2-7F128A7706CD}"/>
              </c:ext>
            </c:extLst>
          </c:dPt>
          <c:dLbls>
            <c:spPr>
              <a:noFill/>
              <a:ln>
                <a:noFill/>
              </a:ln>
              <a:effectLst/>
            </c:spPr>
            <c:txPr>
              <a:bodyPr wrap="square" lIns="38100" tIns="19050" rIns="38100" bIns="19050" anchor="ctr">
                <a:spAutoFit/>
              </a:bodyPr>
              <a:lstStyle/>
              <a:p>
                <a:pPr>
                  <a:defRPr>
                    <a:solidFill>
                      <a:schemeClr val="bg1"/>
                    </a:solidFill>
                  </a:defRPr>
                </a:pPr>
                <a:endParaRPr lang="sv-SE"/>
              </a:p>
            </c:txPr>
            <c:showLegendKey val="0"/>
            <c:showVal val="1"/>
            <c:showCatName val="0"/>
            <c:showSerName val="0"/>
            <c:showPercent val="0"/>
            <c:showBubbleSize val="0"/>
            <c:showLeaderLines val="1"/>
            <c:extLst>
              <c:ext xmlns:c15="http://schemas.microsoft.com/office/drawing/2012/chart" uri="{CE6537A1-D6FC-4f65-9D91-7224C49458BB}"/>
            </c:extLst>
          </c:dLbls>
          <c:cat>
            <c:strRef>
              <c:f>'El och Uppvärmning'!$H$28:$H$29</c:f>
              <c:strCache>
                <c:ptCount val="2"/>
                <c:pt idx="0">
                  <c:v>Fossilbränslefri uppvärmning</c:v>
                </c:pt>
                <c:pt idx="1">
                  <c:v>Fossil uppvärmning</c:v>
                </c:pt>
              </c:strCache>
            </c:strRef>
          </c:cat>
          <c:val>
            <c:numRef>
              <c:f>'El och Uppvärmning'!$I$28:$I$29</c:f>
              <c:numCache>
                <c:formatCode>0.0%</c:formatCode>
                <c:ptCount val="2"/>
                <c:pt idx="0">
                  <c:v>0</c:v>
                </c:pt>
                <c:pt idx="1">
                  <c:v>0</c:v>
                </c:pt>
              </c:numCache>
            </c:numRef>
          </c:val>
          <c:extLst>
            <c:ext xmlns:c16="http://schemas.microsoft.com/office/drawing/2014/chart" uri="{C3380CC4-5D6E-409C-BE32-E72D297353CC}">
              <c16:uniqueId val="{00000004-B91B-411F-A4B2-7F128A7706CD}"/>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extLst/>
  </c:chart>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sv-SE" sz="1800" b="1" baseline="0">
                <a:solidFill>
                  <a:sysClr val="windowText" lastClr="000000"/>
                </a:solidFill>
              </a:rPr>
              <a:t>Fordonsbränsle   </a:t>
            </a:r>
            <a:r>
              <a:rPr lang="sv-SE" sz="1100" b="1" baseline="0">
                <a:solidFill>
                  <a:sysClr val="windowText" lastClr="000000"/>
                </a:solidFill>
              </a:rPr>
              <a:t> </a:t>
            </a:r>
          </a:p>
          <a:p>
            <a:pPr>
              <a:defRPr sz="1100" b="1"/>
            </a:pPr>
            <a:r>
              <a:rPr lang="sv-SE" sz="1100" b="1" baseline="0">
                <a:solidFill>
                  <a:sysClr val="windowText" lastClr="000000"/>
                </a:solidFill>
              </a:rPr>
              <a:t>- Köpt drivmedel till egna fordon och arbetsmaskiner</a:t>
            </a:r>
          </a:p>
        </c:rich>
      </c:tx>
      <c:layout>
        <c:manualLayout>
          <c:xMode val="edge"/>
          <c:yMode val="edge"/>
          <c:x val="0.14841879642692135"/>
          <c:y val="3.459957648658996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1742126400707"/>
          <c:y val="0.17092785478551062"/>
          <c:w val="0.64049534504425953"/>
          <c:h val="0.71337147471198414"/>
        </c:manualLayout>
      </c:layout>
      <c:pieChart>
        <c:varyColors val="1"/>
        <c:ser>
          <c:idx val="0"/>
          <c:order val="0"/>
          <c:spPr>
            <a:ln>
              <a:noFill/>
            </a:ln>
          </c:spPr>
          <c:dPt>
            <c:idx val="0"/>
            <c:bubble3D val="0"/>
            <c:spPr>
              <a:solidFill>
                <a:srgbClr val="33CCCC"/>
              </a:solidFill>
              <a:ln w="19050">
                <a:noFill/>
              </a:ln>
              <a:effectLst/>
            </c:spPr>
            <c:extLst>
              <c:ext xmlns:c16="http://schemas.microsoft.com/office/drawing/2014/chart" uri="{C3380CC4-5D6E-409C-BE32-E72D297353CC}">
                <c16:uniqueId val="{00000001-1664-4F95-B8A6-A9764DED45C8}"/>
              </c:ext>
            </c:extLst>
          </c:dPt>
          <c:dPt>
            <c:idx val="1"/>
            <c:bubble3D val="0"/>
            <c:spPr>
              <a:solidFill>
                <a:schemeClr val="tx1"/>
              </a:solidFill>
              <a:ln w="19050">
                <a:noFill/>
              </a:ln>
              <a:effectLst/>
            </c:spPr>
            <c:extLst>
              <c:ext xmlns:c16="http://schemas.microsoft.com/office/drawing/2014/chart" uri="{C3380CC4-5D6E-409C-BE32-E72D297353CC}">
                <c16:uniqueId val="{00000003-1664-4F95-B8A6-A9764DED45C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sv-SE"/>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'Transporter Steg 1, 2 och 3'!$L$24:$L$25</c:f>
              <c:strCache>
                <c:ptCount val="2"/>
                <c:pt idx="0">
                  <c:v>Fossilbränslefritt</c:v>
                </c:pt>
                <c:pt idx="1">
                  <c:v>Fossilt</c:v>
                </c:pt>
              </c:strCache>
            </c:strRef>
          </c:cat>
          <c:val>
            <c:numRef>
              <c:f>'Transporter Steg 1, 2 och 3'!$M$24:$M$25</c:f>
              <c:numCache>
                <c:formatCode>0.0%</c:formatCode>
                <c:ptCount val="2"/>
                <c:pt idx="0">
                  <c:v>0</c:v>
                </c:pt>
                <c:pt idx="1">
                  <c:v>0</c:v>
                </c:pt>
              </c:numCache>
            </c:numRef>
          </c:val>
          <c:extLst>
            <c:ext xmlns:c16="http://schemas.microsoft.com/office/drawing/2014/chart" uri="{C3380CC4-5D6E-409C-BE32-E72D297353CC}">
              <c16:uniqueId val="{00000004-1664-4F95-B8A6-A9764DED45C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5095425156112694"/>
          <c:y val="0.88199395126370628"/>
          <c:w val="0.46646437487996922"/>
          <c:h val="0.1173012510492026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800" b="1" i="0" u="none" strike="noStrike" baseline="0">
                <a:solidFill>
                  <a:schemeClr val="tx1"/>
                </a:solidFill>
                <a:effectLst/>
              </a:rPr>
              <a:t> Tjänsteresor (energi)</a:t>
            </a:r>
          </a:p>
          <a:p>
            <a:pPr>
              <a:defRPr sz="1100" b="1"/>
            </a:pPr>
            <a:r>
              <a:rPr lang="en-US" sz="1100" b="1" i="0" u="none" strike="noStrike" baseline="0">
                <a:solidFill>
                  <a:schemeClr val="tx1"/>
                </a:solidFill>
                <a:effectLst/>
              </a:rPr>
              <a:t>- Resor i tjänsten med privat bil, tåg, flyg etc</a:t>
            </a:r>
            <a:endParaRPr lang="sv-SE">
              <a:solidFill>
                <a:schemeClr val="tx1"/>
              </a:solidFill>
            </a:endParaRPr>
          </a:p>
        </c:rich>
      </c:tx>
      <c:layout>
        <c:manualLayout>
          <c:xMode val="edge"/>
          <c:yMode val="edge"/>
          <c:x val="0.25457526632700322"/>
          <c:y val="2.7949527699411905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34469644334940697"/>
          <c:y val="0.22296106464324905"/>
          <c:w val="0.32603773283705934"/>
          <c:h val="0.61364140740604167"/>
        </c:manualLayout>
      </c:layout>
      <c:pieChart>
        <c:varyColors val="1"/>
        <c:ser>
          <c:idx val="0"/>
          <c:order val="0"/>
          <c:spPr>
            <a:ln>
              <a:noFill/>
            </a:ln>
          </c:spPr>
          <c:dPt>
            <c:idx val="0"/>
            <c:bubble3D val="0"/>
            <c:spPr>
              <a:solidFill>
                <a:srgbClr val="33CCCC"/>
              </a:solidFill>
              <a:ln w="19050">
                <a:noFill/>
              </a:ln>
              <a:effectLst/>
            </c:spPr>
            <c:extLst>
              <c:ext xmlns:c16="http://schemas.microsoft.com/office/drawing/2014/chart" uri="{C3380CC4-5D6E-409C-BE32-E72D297353CC}">
                <c16:uniqueId val="{00000001-4697-4E00-AFC3-7EBD0A3EED3F}"/>
              </c:ext>
            </c:extLst>
          </c:dPt>
          <c:dPt>
            <c:idx val="1"/>
            <c:bubble3D val="0"/>
            <c:spPr>
              <a:solidFill>
                <a:sysClr val="windowText" lastClr="000000"/>
              </a:solidFill>
              <a:ln w="19050">
                <a:noFill/>
              </a:ln>
              <a:effectLst/>
            </c:spPr>
            <c:extLst>
              <c:ext xmlns:c16="http://schemas.microsoft.com/office/drawing/2014/chart" uri="{C3380CC4-5D6E-409C-BE32-E72D297353CC}">
                <c16:uniqueId val="{00000003-CB55-436C-B922-1A3AC9A9F14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sv-SE"/>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'Transporter Steg 1, 2 och 3'!$L$49:$L$50</c:f>
              <c:strCache>
                <c:ptCount val="2"/>
                <c:pt idx="0">
                  <c:v>Fossilbränslefritt</c:v>
                </c:pt>
                <c:pt idx="1">
                  <c:v>Fossilt</c:v>
                </c:pt>
              </c:strCache>
            </c:strRef>
          </c:cat>
          <c:val>
            <c:numRef>
              <c:f>'Transporter Steg 1, 2 och 3'!$M$49:$M$50</c:f>
              <c:numCache>
                <c:formatCode>0.0%</c:formatCode>
                <c:ptCount val="2"/>
                <c:pt idx="0">
                  <c:v>0</c:v>
                </c:pt>
                <c:pt idx="1">
                  <c:v>0</c:v>
                </c:pt>
              </c:numCache>
            </c:numRef>
          </c:val>
          <c:extLst>
            <c:ext xmlns:c16="http://schemas.microsoft.com/office/drawing/2014/chart" uri="{C3380CC4-5D6E-409C-BE32-E72D297353CC}">
              <c16:uniqueId val="{00000004-4697-4E00-AFC3-7EBD0A3EED3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5095425156112694"/>
          <c:y val="0.88199395126370628"/>
          <c:w val="0.46646437487996922"/>
          <c:h val="0.1173012510492026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sv-SE" sz="1600" b="1"/>
              <a:t>Tjänsteresor</a:t>
            </a:r>
            <a:r>
              <a:rPr lang="sv-SE" sz="1600" b="1" baseline="0"/>
              <a:t> (km)</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r>
              <a:rPr lang="en-US" sz="1000" b="1" i="0" baseline="0">
                <a:effectLst/>
              </a:rPr>
              <a:t>- Resor i tjänsten med privat bil, tåg, flyg etc</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sv-SE" sz="1600" b="1"/>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sv-SE"/>
        </a:p>
      </c:txPr>
    </c:title>
    <c:autoTitleDeleted val="0"/>
    <c:plotArea>
      <c:layout>
        <c:manualLayout>
          <c:layoutTarget val="inner"/>
          <c:xMode val="edge"/>
          <c:yMode val="edge"/>
          <c:x val="0.2776097627665689"/>
          <c:y val="0.1900657593719321"/>
          <c:w val="0.44728231341698799"/>
          <c:h val="0.6724081612104106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45-49A7-ADF0-7BBA101DB2CA}"/>
              </c:ext>
            </c:extLst>
          </c:dPt>
          <c:dPt>
            <c:idx val="1"/>
            <c:bubble3D val="0"/>
            <c:spPr>
              <a:solidFill>
                <a:srgbClr val="33CCCC"/>
              </a:solidFill>
              <a:ln w="19050">
                <a:solidFill>
                  <a:schemeClr val="lt1"/>
                </a:solidFill>
              </a:ln>
              <a:effectLst/>
            </c:spPr>
            <c:extLst>
              <c:ext xmlns:c16="http://schemas.microsoft.com/office/drawing/2014/chart" uri="{C3380CC4-5D6E-409C-BE32-E72D297353CC}">
                <c16:uniqueId val="{00000002-BE62-45D4-86E5-3F2E3145CEB6}"/>
              </c:ext>
            </c:extLst>
          </c:dPt>
          <c:dPt>
            <c:idx val="2"/>
            <c:bubble3D val="0"/>
            <c:spPr>
              <a:solidFill>
                <a:schemeClr val="tx1"/>
              </a:solidFill>
              <a:ln w="19050">
                <a:solidFill>
                  <a:schemeClr val="lt1"/>
                </a:solidFill>
              </a:ln>
              <a:effectLst/>
            </c:spPr>
            <c:extLst>
              <c:ext xmlns:c16="http://schemas.microsoft.com/office/drawing/2014/chart" uri="{C3380CC4-5D6E-409C-BE32-E72D297353CC}">
                <c16:uniqueId val="{00000001-BE62-45D4-86E5-3F2E3145CEB6}"/>
              </c:ext>
            </c:extLst>
          </c:dPt>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62-45D4-86E5-3F2E3145CEB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62-45D4-86E5-3F2E3145CEB6}"/>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sv-SE"/>
              </a:p>
            </c:txPr>
            <c:showLegendKey val="0"/>
            <c:showVal val="0"/>
            <c:showCatName val="0"/>
            <c:showSerName val="0"/>
            <c:showPercent val="0"/>
            <c:showBubbleSize val="0"/>
            <c:extLst>
              <c:ext xmlns:c15="http://schemas.microsoft.com/office/drawing/2012/chart" uri="{CE6537A1-D6FC-4f65-9D91-7224C49458BB}"/>
            </c:extLst>
          </c:dLbls>
          <c:cat>
            <c:strRef>
              <c:f>'Transporter Steg 1, 2 och 3'!$L$44:$L$46</c:f>
              <c:strCache>
                <c:ptCount val="3"/>
                <c:pt idx="0">
                  <c:v>Transporter - Tjänsteresor km</c:v>
                </c:pt>
                <c:pt idx="1">
                  <c:v>Fossilbränslefritt</c:v>
                </c:pt>
                <c:pt idx="2">
                  <c:v>Fossilt</c:v>
                </c:pt>
              </c:strCache>
            </c:strRef>
          </c:cat>
          <c:val>
            <c:numRef>
              <c:f>'Transporter Steg 1, 2 och 3'!$M$44:$M$46</c:f>
              <c:numCache>
                <c:formatCode>0.0%</c:formatCode>
                <c:ptCount val="3"/>
                <c:pt idx="1">
                  <c:v>0</c:v>
                </c:pt>
                <c:pt idx="2">
                  <c:v>0</c:v>
                </c:pt>
              </c:numCache>
            </c:numRef>
          </c:val>
          <c:extLst>
            <c:ext xmlns:c16="http://schemas.microsoft.com/office/drawing/2014/chart" uri="{C3380CC4-5D6E-409C-BE32-E72D297353CC}">
              <c16:uniqueId val="{00000000-BE62-45D4-86E5-3F2E3145CEB6}"/>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800" b="1" i="0" u="none" strike="noStrike" baseline="0">
                <a:solidFill>
                  <a:schemeClr val="tx1"/>
                </a:solidFill>
                <a:effectLst/>
              </a:rPr>
              <a:t> </a:t>
            </a:r>
            <a:r>
              <a:rPr lang="en-US" sz="1200" b="1" i="0" u="none" strike="noStrike" baseline="0">
                <a:solidFill>
                  <a:schemeClr val="tx1"/>
                </a:solidFill>
                <a:effectLst/>
              </a:rPr>
              <a:t>Övriga upphandlade fossilintensiva entreprenader (energi)</a:t>
            </a:r>
          </a:p>
          <a:p>
            <a:pPr>
              <a:defRPr sz="1100" b="1"/>
            </a:pPr>
            <a:r>
              <a:rPr lang="en-US" sz="1000" b="1" i="0" u="none" strike="noStrike" baseline="0">
                <a:solidFill>
                  <a:schemeClr val="tx1"/>
                </a:solidFill>
                <a:effectLst/>
              </a:rPr>
              <a:t>- Färdtjänst och skolskjuts</a:t>
            </a:r>
            <a:endParaRPr lang="sv-SE" sz="1000">
              <a:solidFill>
                <a:schemeClr val="tx1"/>
              </a:solidFill>
            </a:endParaRPr>
          </a:p>
        </c:rich>
      </c:tx>
      <c:layout>
        <c:manualLayout>
          <c:xMode val="edge"/>
          <c:yMode val="edge"/>
          <c:x val="9.2447830784548352E-2"/>
          <c:y val="3.7504138412326397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34469644334940697"/>
          <c:y val="0.22296106464324905"/>
          <c:w val="0.32603773283705934"/>
          <c:h val="0.61364140740604167"/>
        </c:manualLayout>
      </c:layout>
      <c:pieChart>
        <c:varyColors val="1"/>
        <c:ser>
          <c:idx val="0"/>
          <c:order val="0"/>
          <c:dPt>
            <c:idx val="0"/>
            <c:bubble3D val="0"/>
            <c:spPr>
              <a:solidFill>
                <a:srgbClr val="33CCCC"/>
              </a:solidFill>
              <a:ln w="19050">
                <a:solidFill>
                  <a:schemeClr val="lt1"/>
                </a:solidFill>
              </a:ln>
              <a:effectLst/>
            </c:spPr>
            <c:extLst>
              <c:ext xmlns:c16="http://schemas.microsoft.com/office/drawing/2014/chart" uri="{C3380CC4-5D6E-409C-BE32-E72D297353CC}">
                <c16:uniqueId val="{00000001-3F7C-4A6E-AAB6-A6E822391688}"/>
              </c:ext>
            </c:extLst>
          </c:dPt>
          <c:dPt>
            <c:idx val="1"/>
            <c:bubble3D val="0"/>
            <c:spPr>
              <a:solidFill>
                <a:sysClr val="windowText" lastClr="000000"/>
              </a:solidFill>
              <a:ln w="19050">
                <a:solidFill>
                  <a:schemeClr val="lt1"/>
                </a:solidFill>
              </a:ln>
              <a:effectLst/>
            </c:spPr>
            <c:extLst>
              <c:ext xmlns:c16="http://schemas.microsoft.com/office/drawing/2014/chart" uri="{C3380CC4-5D6E-409C-BE32-E72D297353CC}">
                <c16:uniqueId val="{00000003-3F7C-4A6E-AAB6-A6E82239168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sv-SE"/>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'Transporter Steg 1, 2 och 3'!$L$61:$L$62</c:f>
              <c:strCache>
                <c:ptCount val="2"/>
                <c:pt idx="0">
                  <c:v>Fossilbränslefritt</c:v>
                </c:pt>
                <c:pt idx="1">
                  <c:v>Fossilt</c:v>
                </c:pt>
              </c:strCache>
            </c:strRef>
          </c:cat>
          <c:val>
            <c:numRef>
              <c:f>'Transporter Steg 1, 2 och 3'!$M$61:$M$62</c:f>
              <c:numCache>
                <c:formatCode>0.0%</c:formatCode>
                <c:ptCount val="2"/>
                <c:pt idx="0">
                  <c:v>0</c:v>
                </c:pt>
                <c:pt idx="1">
                  <c:v>0</c:v>
                </c:pt>
              </c:numCache>
            </c:numRef>
          </c:val>
          <c:extLst>
            <c:ext xmlns:c16="http://schemas.microsoft.com/office/drawing/2014/chart" uri="{C3380CC4-5D6E-409C-BE32-E72D297353CC}">
              <c16:uniqueId val="{00000004-3F7C-4A6E-AAB6-A6E82239168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5095425156112694"/>
          <c:y val="0.88199395126370628"/>
          <c:w val="0.46646437487996922"/>
          <c:h val="0.1173012510492026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sv-SE" sz="1400" b="1" baseline="0">
                <a:solidFill>
                  <a:sysClr val="windowText" lastClr="000000"/>
                </a:solidFill>
              </a:rPr>
              <a:t>Fossilbränslefria personbilar och lätta lastbilar   </a:t>
            </a:r>
          </a:p>
          <a:p>
            <a:pPr>
              <a:defRPr sz="1100" b="1"/>
            </a:pPr>
            <a:r>
              <a:rPr lang="sv-SE" sz="1100" b="1" baseline="0">
                <a:solidFill>
                  <a:sysClr val="windowText" lastClr="000000"/>
                </a:solidFill>
              </a:rPr>
              <a:t>-  andel fordon som primärt drivs fossilfritt</a:t>
            </a:r>
          </a:p>
        </c:rich>
      </c:tx>
      <c:layout>
        <c:manualLayout>
          <c:xMode val="edge"/>
          <c:yMode val="edge"/>
          <c:x val="0.14841869705447011"/>
          <c:y val="4.683049209022476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1745759303143453"/>
          <c:y val="0.22596712817555717"/>
          <c:w val="0.58732276116425097"/>
          <c:h val="0.66444784459979223"/>
        </c:manualLayout>
      </c:layout>
      <c:pieChart>
        <c:varyColors val="1"/>
        <c:ser>
          <c:idx val="0"/>
          <c:order val="0"/>
          <c:spPr>
            <a:ln>
              <a:noFill/>
            </a:ln>
          </c:spPr>
          <c:dPt>
            <c:idx val="0"/>
            <c:bubble3D val="0"/>
            <c:spPr>
              <a:solidFill>
                <a:srgbClr val="33CCCC"/>
              </a:solidFill>
              <a:ln w="19050">
                <a:noFill/>
              </a:ln>
              <a:effectLst/>
            </c:spPr>
            <c:extLst>
              <c:ext xmlns:c16="http://schemas.microsoft.com/office/drawing/2014/chart" uri="{C3380CC4-5D6E-409C-BE32-E72D297353CC}">
                <c16:uniqueId val="{00000001-5EC6-473F-AB49-525A83F136DC}"/>
              </c:ext>
            </c:extLst>
          </c:dPt>
          <c:dPt>
            <c:idx val="1"/>
            <c:bubble3D val="0"/>
            <c:spPr>
              <a:solidFill>
                <a:schemeClr val="tx1"/>
              </a:solidFill>
              <a:ln w="19050">
                <a:noFill/>
              </a:ln>
              <a:effectLst/>
            </c:spPr>
            <c:extLst>
              <c:ext xmlns:c16="http://schemas.microsoft.com/office/drawing/2014/chart" uri="{C3380CC4-5D6E-409C-BE32-E72D297353CC}">
                <c16:uniqueId val="{00000003-5EC6-473F-AB49-525A83F136D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sv-SE"/>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'Transporter Steg 4'!$G$22:$G$23</c:f>
              <c:strCache>
                <c:ptCount val="2"/>
                <c:pt idx="0">
                  <c:v>Fossilbränslefritt</c:v>
                </c:pt>
                <c:pt idx="1">
                  <c:v>Fossilt</c:v>
                </c:pt>
              </c:strCache>
            </c:strRef>
          </c:cat>
          <c:val>
            <c:numRef>
              <c:f>'Transporter Steg 4'!$H$22:$H$23</c:f>
              <c:numCache>
                <c:formatCode>0.0%</c:formatCode>
                <c:ptCount val="2"/>
                <c:pt idx="0">
                  <c:v>0</c:v>
                </c:pt>
                <c:pt idx="1">
                  <c:v>0</c:v>
                </c:pt>
              </c:numCache>
            </c:numRef>
          </c:val>
          <c:extLst>
            <c:ext xmlns:c16="http://schemas.microsoft.com/office/drawing/2014/chart" uri="{C3380CC4-5D6E-409C-BE32-E72D297353CC}">
              <c16:uniqueId val="{00000004-5EC6-473F-AB49-525A83F136D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5095425156112694"/>
          <c:y val="0.88199395126370628"/>
          <c:w val="0.46646437487996922"/>
          <c:h val="0.1173012510492026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sv-SE" sz="1400" b="1" baseline="0">
                <a:solidFill>
                  <a:sysClr val="windowText" lastClr="000000"/>
                </a:solidFill>
              </a:rPr>
              <a:t>Fossilbränslefria personbilar och lätta lastbilar   </a:t>
            </a:r>
          </a:p>
          <a:p>
            <a:pPr>
              <a:defRPr sz="1100" b="1"/>
            </a:pPr>
            <a:r>
              <a:rPr lang="sv-SE" sz="1100" b="1" baseline="0">
                <a:solidFill>
                  <a:sysClr val="windowText" lastClr="000000"/>
                </a:solidFill>
              </a:rPr>
              <a:t>-  andel fordon som primärt drivs fossilfritt, HVO i dieselfordon och fossilt</a:t>
            </a:r>
          </a:p>
        </c:rich>
      </c:tx>
      <c:layout>
        <c:manualLayout>
          <c:xMode val="edge"/>
          <c:yMode val="edge"/>
          <c:x val="0.14841869705447011"/>
          <c:y val="4.683049209022476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1745759303143453"/>
          <c:y val="0.22596712817555717"/>
          <c:w val="0.58732276116425097"/>
          <c:h val="0.66444784459979223"/>
        </c:manualLayout>
      </c:layout>
      <c:pieChart>
        <c:varyColors val="1"/>
        <c:ser>
          <c:idx val="0"/>
          <c:order val="0"/>
          <c:dPt>
            <c:idx val="0"/>
            <c:bubble3D val="0"/>
            <c:spPr>
              <a:solidFill>
                <a:srgbClr val="33CCCC"/>
              </a:solidFill>
              <a:ln w="19050">
                <a:solidFill>
                  <a:schemeClr val="lt1"/>
                </a:solidFill>
              </a:ln>
              <a:effectLst/>
            </c:spPr>
            <c:extLst>
              <c:ext xmlns:c16="http://schemas.microsoft.com/office/drawing/2014/chart" uri="{C3380CC4-5D6E-409C-BE32-E72D297353CC}">
                <c16:uniqueId val="{00000001-E8C2-4B6C-AC94-B0948A5741D6}"/>
              </c:ext>
            </c:extLst>
          </c:dPt>
          <c:dPt>
            <c:idx val="1"/>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E8C2-4B6C-AC94-B0948A5741D6}"/>
              </c:ext>
            </c:extLst>
          </c:dPt>
          <c:dPt>
            <c:idx val="2"/>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06-E8C2-4B6C-AC94-B0948A5741D6}"/>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sv-SE"/>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'Transporter Steg 4'!$N$22:$N$24</c:f>
              <c:strCache>
                <c:ptCount val="3"/>
                <c:pt idx="0">
                  <c:v>Fossilbränslefria fordon</c:v>
                </c:pt>
                <c:pt idx="1">
                  <c:v>HVO100 fordon</c:v>
                </c:pt>
                <c:pt idx="2">
                  <c:v>Fossila fordon</c:v>
                </c:pt>
              </c:strCache>
            </c:strRef>
          </c:cat>
          <c:val>
            <c:numRef>
              <c:f>'Transporter Steg 4'!$O$22:$O$24</c:f>
              <c:numCache>
                <c:formatCode>0.0%</c:formatCode>
                <c:ptCount val="3"/>
                <c:pt idx="0">
                  <c:v>0</c:v>
                </c:pt>
                <c:pt idx="1">
                  <c:v>0</c:v>
                </c:pt>
                <c:pt idx="2">
                  <c:v>0</c:v>
                </c:pt>
              </c:numCache>
            </c:numRef>
          </c:val>
          <c:extLst>
            <c:ext xmlns:c16="http://schemas.microsoft.com/office/drawing/2014/chart" uri="{C3380CC4-5D6E-409C-BE32-E72D297353CC}">
              <c16:uniqueId val="{00000004-E8C2-4B6C-AC94-B0948A5741D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7.5678639044389054E-2"/>
          <c:y val="0.87558818767329127"/>
          <c:w val="0.91783334354867274"/>
          <c:h val="0.1237071724471179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2.xml"/><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4.xml"/><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9.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3</xdr:col>
      <xdr:colOff>523875</xdr:colOff>
      <xdr:row>3</xdr:row>
      <xdr:rowOff>219075</xdr:rowOff>
    </xdr:from>
    <xdr:to>
      <xdr:col>4</xdr:col>
      <xdr:colOff>1071778</xdr:colOff>
      <xdr:row>4</xdr:row>
      <xdr:rowOff>467102</xdr:rowOff>
    </xdr:to>
    <xdr:pic>
      <xdr:nvPicPr>
        <xdr:cNvPr id="2" name="Bildobjekt 1" descr="C:\Users\ceth\Pictures\Saved Pictures\EUlogo_v_RGB.png">
          <a:extLst>
            <a:ext uri="{FF2B5EF4-FFF2-40B4-BE49-F238E27FC236}">
              <a16:creationId xmlns:a16="http://schemas.microsoft.com/office/drawing/2014/main" id="{DC71299B-7E0D-4FC5-AABC-B0D0CA4D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4615" y="950595"/>
          <a:ext cx="1896643" cy="644266"/>
        </a:xfrm>
        <a:prstGeom prst="rect">
          <a:avLst/>
        </a:prstGeom>
        <a:noFill/>
        <a:ln>
          <a:noFill/>
        </a:ln>
      </xdr:spPr>
    </xdr:pic>
    <xdr:clientData/>
  </xdr:twoCellAnchor>
  <xdr:twoCellAnchor editAs="oneCell">
    <xdr:from>
      <xdr:col>1</xdr:col>
      <xdr:colOff>1239371</xdr:colOff>
      <xdr:row>3</xdr:row>
      <xdr:rowOff>165846</xdr:rowOff>
    </xdr:from>
    <xdr:to>
      <xdr:col>3</xdr:col>
      <xdr:colOff>484079</xdr:colOff>
      <xdr:row>4</xdr:row>
      <xdr:rowOff>531860</xdr:rowOff>
    </xdr:to>
    <xdr:pic>
      <xdr:nvPicPr>
        <xdr:cNvPr id="3" name="Bildobjekt 2">
          <a:extLst>
            <a:ext uri="{FF2B5EF4-FFF2-40B4-BE49-F238E27FC236}">
              <a16:creationId xmlns:a16="http://schemas.microsoft.com/office/drawing/2014/main" id="{4CA9D73E-04F6-4E6A-91CE-8EFA250E0237}"/>
            </a:ext>
          </a:extLst>
        </xdr:cNvPr>
        <xdr:cNvPicPr>
          <a:picLocks noChangeAspect="1"/>
        </xdr:cNvPicPr>
      </xdr:nvPicPr>
      <xdr:blipFill rotWithShape="1">
        <a:blip xmlns:r="http://schemas.openxmlformats.org/officeDocument/2006/relationships" r:embed="rId2"/>
        <a:srcRect l="21253" t="24177" r="22906" b="43389"/>
        <a:stretch/>
      </xdr:blipFill>
      <xdr:spPr>
        <a:xfrm>
          <a:off x="4485491" y="897366"/>
          <a:ext cx="1919328" cy="762253"/>
        </a:xfrm>
        <a:prstGeom prst="rect">
          <a:avLst/>
        </a:prstGeom>
      </xdr:spPr>
    </xdr:pic>
    <xdr:clientData/>
  </xdr:twoCellAnchor>
  <xdr:twoCellAnchor editAs="oneCell">
    <xdr:from>
      <xdr:col>0</xdr:col>
      <xdr:colOff>44823</xdr:colOff>
      <xdr:row>4</xdr:row>
      <xdr:rowOff>267074</xdr:rowOff>
    </xdr:from>
    <xdr:to>
      <xdr:col>0</xdr:col>
      <xdr:colOff>630142</xdr:colOff>
      <xdr:row>6</xdr:row>
      <xdr:rowOff>9710</xdr:rowOff>
    </xdr:to>
    <xdr:pic>
      <xdr:nvPicPr>
        <xdr:cNvPr id="4" name="Platshållare för innehåll 6">
          <a:extLst>
            <a:ext uri="{FF2B5EF4-FFF2-40B4-BE49-F238E27FC236}">
              <a16:creationId xmlns:a16="http://schemas.microsoft.com/office/drawing/2014/main" id="{098DAC74-B9E3-44E8-B30B-40C491C025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823" y="1199403"/>
          <a:ext cx="585319" cy="585319"/>
        </a:xfrm>
        <a:prstGeom prst="rect">
          <a:avLst/>
        </a:prstGeom>
      </xdr:spPr>
    </xdr:pic>
    <xdr:clientData/>
  </xdr:twoCellAnchor>
  <xdr:twoCellAnchor editAs="oneCell">
    <xdr:from>
      <xdr:col>0</xdr:col>
      <xdr:colOff>464620</xdr:colOff>
      <xdr:row>4</xdr:row>
      <xdr:rowOff>243168</xdr:rowOff>
    </xdr:from>
    <xdr:to>
      <xdr:col>0</xdr:col>
      <xdr:colOff>1156819</xdr:colOff>
      <xdr:row>6</xdr:row>
      <xdr:rowOff>94449</xdr:rowOff>
    </xdr:to>
    <xdr:pic>
      <xdr:nvPicPr>
        <xdr:cNvPr id="5" name="Bildobjekt 4">
          <a:extLst>
            <a:ext uri="{FF2B5EF4-FFF2-40B4-BE49-F238E27FC236}">
              <a16:creationId xmlns:a16="http://schemas.microsoft.com/office/drawing/2014/main" id="{0755447A-FAAC-4EFD-B3B4-16CC40E32D8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620" y="1175497"/>
          <a:ext cx="692199" cy="693964"/>
        </a:xfrm>
        <a:prstGeom prst="rect">
          <a:avLst/>
        </a:prstGeom>
      </xdr:spPr>
    </xdr:pic>
    <xdr:clientData/>
  </xdr:twoCellAnchor>
  <xdr:twoCellAnchor editAs="oneCell">
    <xdr:from>
      <xdr:col>0</xdr:col>
      <xdr:colOff>1086970</xdr:colOff>
      <xdr:row>4</xdr:row>
      <xdr:rowOff>367552</xdr:rowOff>
    </xdr:from>
    <xdr:to>
      <xdr:col>0</xdr:col>
      <xdr:colOff>1540809</xdr:colOff>
      <xdr:row>5</xdr:row>
      <xdr:rowOff>110937</xdr:rowOff>
    </xdr:to>
    <xdr:pic>
      <xdr:nvPicPr>
        <xdr:cNvPr id="6" name="Bildobjekt 5">
          <a:extLst>
            <a:ext uri="{FF2B5EF4-FFF2-40B4-BE49-F238E27FC236}">
              <a16:creationId xmlns:a16="http://schemas.microsoft.com/office/drawing/2014/main" id="{D016BEA4-CC03-416B-A81F-DC41A61B363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86970" y="1299881"/>
          <a:ext cx="453839" cy="451597"/>
        </a:xfrm>
        <a:prstGeom prst="rect">
          <a:avLst/>
        </a:prstGeom>
      </xdr:spPr>
    </xdr:pic>
    <xdr:clientData/>
  </xdr:twoCellAnchor>
  <xdr:twoCellAnchor editAs="oneCell">
    <xdr:from>
      <xdr:col>0</xdr:col>
      <xdr:colOff>1676027</xdr:colOff>
      <xdr:row>4</xdr:row>
      <xdr:rowOff>431850</xdr:rowOff>
    </xdr:from>
    <xdr:to>
      <xdr:col>0</xdr:col>
      <xdr:colOff>2054645</xdr:colOff>
      <xdr:row>5</xdr:row>
      <xdr:rowOff>68463</xdr:rowOff>
    </xdr:to>
    <xdr:pic>
      <xdr:nvPicPr>
        <xdr:cNvPr id="7" name="Bildobjekt 6">
          <a:extLst>
            <a:ext uri="{FF2B5EF4-FFF2-40B4-BE49-F238E27FC236}">
              <a16:creationId xmlns:a16="http://schemas.microsoft.com/office/drawing/2014/main" id="{C20C2DFC-D107-4C36-840D-434AE258AA8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76027" y="1364179"/>
          <a:ext cx="378618" cy="34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523875</xdr:colOff>
      <xdr:row>4</xdr:row>
      <xdr:rowOff>219075</xdr:rowOff>
    </xdr:from>
    <xdr:to>
      <xdr:col>4</xdr:col>
      <xdr:colOff>1071778</xdr:colOff>
      <xdr:row>5</xdr:row>
      <xdr:rowOff>467101</xdr:rowOff>
    </xdr:to>
    <xdr:pic>
      <xdr:nvPicPr>
        <xdr:cNvPr id="2" name="Bildobjekt 1" descr="C:\Users\ceth\Pictures\Saved Pictures\EUlogo_v_RGB.png">
          <a:extLst>
            <a:ext uri="{FF2B5EF4-FFF2-40B4-BE49-F238E27FC236}">
              <a16:creationId xmlns:a16="http://schemas.microsoft.com/office/drawing/2014/main" id="{404522FE-8E19-4411-BE06-5100B3CE7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981075"/>
          <a:ext cx="1871878" cy="648076"/>
        </a:xfrm>
        <a:prstGeom prst="rect">
          <a:avLst/>
        </a:prstGeom>
        <a:noFill/>
        <a:ln>
          <a:noFill/>
        </a:ln>
      </xdr:spPr>
    </xdr:pic>
    <xdr:clientData/>
  </xdr:twoCellAnchor>
  <xdr:twoCellAnchor editAs="oneCell">
    <xdr:from>
      <xdr:col>1</xdr:col>
      <xdr:colOff>1239371</xdr:colOff>
      <xdr:row>4</xdr:row>
      <xdr:rowOff>165846</xdr:rowOff>
    </xdr:from>
    <xdr:to>
      <xdr:col>3</xdr:col>
      <xdr:colOff>484079</xdr:colOff>
      <xdr:row>5</xdr:row>
      <xdr:rowOff>531859</xdr:rowOff>
    </xdr:to>
    <xdr:pic>
      <xdr:nvPicPr>
        <xdr:cNvPr id="3" name="Bildobjekt 2">
          <a:extLst>
            <a:ext uri="{FF2B5EF4-FFF2-40B4-BE49-F238E27FC236}">
              <a16:creationId xmlns:a16="http://schemas.microsoft.com/office/drawing/2014/main" id="{8EE22DD8-BCE0-4B1C-BDF1-E8B26522670F}"/>
            </a:ext>
          </a:extLst>
        </xdr:cNvPr>
        <xdr:cNvPicPr>
          <a:picLocks noChangeAspect="1"/>
        </xdr:cNvPicPr>
      </xdr:nvPicPr>
      <xdr:blipFill rotWithShape="1">
        <a:blip xmlns:r="http://schemas.openxmlformats.org/officeDocument/2006/relationships" r:embed="rId2"/>
        <a:srcRect l="21253" t="24177" r="22906" b="43389"/>
        <a:stretch/>
      </xdr:blipFill>
      <xdr:spPr>
        <a:xfrm>
          <a:off x="4484595" y="883022"/>
          <a:ext cx="1916190" cy="760461"/>
        </a:xfrm>
        <a:prstGeom prst="rect">
          <a:avLst/>
        </a:prstGeom>
      </xdr:spPr>
    </xdr:pic>
    <xdr:clientData/>
  </xdr:twoCellAnchor>
  <xdr:twoCellAnchor editAs="oneCell">
    <xdr:from>
      <xdr:col>0</xdr:col>
      <xdr:colOff>0</xdr:colOff>
      <xdr:row>5</xdr:row>
      <xdr:rowOff>446368</xdr:rowOff>
    </xdr:from>
    <xdr:to>
      <xdr:col>0</xdr:col>
      <xdr:colOff>585319</xdr:colOff>
      <xdr:row>8</xdr:row>
      <xdr:rowOff>72464</xdr:rowOff>
    </xdr:to>
    <xdr:pic>
      <xdr:nvPicPr>
        <xdr:cNvPr id="4" name="Platshållare för innehåll 6">
          <a:extLst>
            <a:ext uri="{FF2B5EF4-FFF2-40B4-BE49-F238E27FC236}">
              <a16:creationId xmlns:a16="http://schemas.microsoft.com/office/drawing/2014/main" id="{2F46CCF2-002A-4098-B391-83008C10A3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557992"/>
          <a:ext cx="585319" cy="585319"/>
        </a:xfrm>
        <a:prstGeom prst="rect">
          <a:avLst/>
        </a:prstGeom>
      </xdr:spPr>
    </xdr:pic>
    <xdr:clientData/>
  </xdr:twoCellAnchor>
  <xdr:twoCellAnchor editAs="oneCell">
    <xdr:from>
      <xdr:col>0</xdr:col>
      <xdr:colOff>455655</xdr:colOff>
      <xdr:row>5</xdr:row>
      <xdr:rowOff>404533</xdr:rowOff>
    </xdr:from>
    <xdr:to>
      <xdr:col>0</xdr:col>
      <xdr:colOff>1147854</xdr:colOff>
      <xdr:row>8</xdr:row>
      <xdr:rowOff>139274</xdr:rowOff>
    </xdr:to>
    <xdr:pic>
      <xdr:nvPicPr>
        <xdr:cNvPr id="5" name="Bildobjekt 4">
          <a:extLst>
            <a:ext uri="{FF2B5EF4-FFF2-40B4-BE49-F238E27FC236}">
              <a16:creationId xmlns:a16="http://schemas.microsoft.com/office/drawing/2014/main" id="{EC586FBD-4A5C-4A61-AB99-442526B6550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5655" y="1516157"/>
          <a:ext cx="692199" cy="693964"/>
        </a:xfrm>
        <a:prstGeom prst="rect">
          <a:avLst/>
        </a:prstGeom>
      </xdr:spPr>
    </xdr:pic>
    <xdr:clientData/>
  </xdr:twoCellAnchor>
  <xdr:twoCellAnchor editAs="oneCell">
    <xdr:from>
      <xdr:col>0</xdr:col>
      <xdr:colOff>1086970</xdr:colOff>
      <xdr:row>5</xdr:row>
      <xdr:rowOff>528916</xdr:rowOff>
    </xdr:from>
    <xdr:to>
      <xdr:col>0</xdr:col>
      <xdr:colOff>1540809</xdr:colOff>
      <xdr:row>8</xdr:row>
      <xdr:rowOff>21290</xdr:rowOff>
    </xdr:to>
    <xdr:pic>
      <xdr:nvPicPr>
        <xdr:cNvPr id="6" name="Bildobjekt 5">
          <a:extLst>
            <a:ext uri="{FF2B5EF4-FFF2-40B4-BE49-F238E27FC236}">
              <a16:creationId xmlns:a16="http://schemas.microsoft.com/office/drawing/2014/main" id="{354EB5C9-DFA0-440B-A877-BA74BC2EA8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86970" y="1640540"/>
          <a:ext cx="453839" cy="451597"/>
        </a:xfrm>
        <a:prstGeom prst="rect">
          <a:avLst/>
        </a:prstGeom>
      </xdr:spPr>
    </xdr:pic>
    <xdr:clientData/>
  </xdr:twoCellAnchor>
  <xdr:twoCellAnchor editAs="oneCell">
    <xdr:from>
      <xdr:col>0</xdr:col>
      <xdr:colOff>1649132</xdr:colOff>
      <xdr:row>5</xdr:row>
      <xdr:rowOff>593215</xdr:rowOff>
    </xdr:from>
    <xdr:to>
      <xdr:col>0</xdr:col>
      <xdr:colOff>2027750</xdr:colOff>
      <xdr:row>7</xdr:row>
      <xdr:rowOff>95358</xdr:rowOff>
    </xdr:to>
    <xdr:pic>
      <xdr:nvPicPr>
        <xdr:cNvPr id="7" name="Bildobjekt 6">
          <a:extLst>
            <a:ext uri="{FF2B5EF4-FFF2-40B4-BE49-F238E27FC236}">
              <a16:creationId xmlns:a16="http://schemas.microsoft.com/office/drawing/2014/main" id="{0A45A815-036A-426F-AC7E-246F5246A2C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49132" y="1704839"/>
          <a:ext cx="378618" cy="34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5</xdr:row>
      <xdr:rowOff>16328</xdr:rowOff>
    </xdr:from>
    <xdr:to>
      <xdr:col>24</xdr:col>
      <xdr:colOff>489857</xdr:colOff>
      <xdr:row>23</xdr:row>
      <xdr:rowOff>65314</xdr:rowOff>
    </xdr:to>
    <xdr:graphicFrame macro="">
      <xdr:nvGraphicFramePr>
        <xdr:cNvPr id="2" name="Diagram 1">
          <a:extLst>
            <a:ext uri="{FF2B5EF4-FFF2-40B4-BE49-F238E27FC236}">
              <a16:creationId xmlns:a16="http://schemas.microsoft.com/office/drawing/2014/main" id="{8337A9C7-4BEC-4A94-99CA-AEC145175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276225</xdr:colOff>
      <xdr:row>3</xdr:row>
      <xdr:rowOff>283513</xdr:rowOff>
    </xdr:from>
    <xdr:to>
      <xdr:col>5</xdr:col>
      <xdr:colOff>3464</xdr:colOff>
      <xdr:row>5</xdr:row>
      <xdr:rowOff>163037</xdr:rowOff>
    </xdr:to>
    <xdr:pic>
      <xdr:nvPicPr>
        <xdr:cNvPr id="3" name="Bildobjekt 2" descr="C:\Users\ceth\Pictures\Saved Pictures\EUlogo_v_RGB.png">
          <a:extLst>
            <a:ext uri="{FF2B5EF4-FFF2-40B4-BE49-F238E27FC236}">
              <a16:creationId xmlns:a16="http://schemas.microsoft.com/office/drawing/2014/main" id="{86259982-4749-4AA2-AC5C-88F83E2E19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4625" y="855013"/>
          <a:ext cx="1876425" cy="641524"/>
        </a:xfrm>
        <a:prstGeom prst="rect">
          <a:avLst/>
        </a:prstGeom>
        <a:noFill/>
        <a:ln>
          <a:noFill/>
        </a:ln>
      </xdr:spPr>
    </xdr:pic>
    <xdr:clientData/>
  </xdr:twoCellAnchor>
  <xdr:twoCellAnchor editAs="oneCell">
    <xdr:from>
      <xdr:col>1</xdr:col>
      <xdr:colOff>1295400</xdr:colOff>
      <xdr:row>3</xdr:row>
      <xdr:rowOff>270197</xdr:rowOff>
    </xdr:from>
    <xdr:to>
      <xdr:col>2</xdr:col>
      <xdr:colOff>1581150</xdr:colOff>
      <xdr:row>6</xdr:row>
      <xdr:rowOff>7144</xdr:rowOff>
    </xdr:to>
    <xdr:pic>
      <xdr:nvPicPr>
        <xdr:cNvPr id="4" name="Bildobjekt 3">
          <a:extLst>
            <a:ext uri="{FF2B5EF4-FFF2-40B4-BE49-F238E27FC236}">
              <a16:creationId xmlns:a16="http://schemas.microsoft.com/office/drawing/2014/main" id="{0D65D84D-77CB-4782-9ED1-621C9BA879BE}"/>
            </a:ext>
          </a:extLst>
        </xdr:cNvPr>
        <xdr:cNvPicPr>
          <a:picLocks noChangeAspect="1"/>
        </xdr:cNvPicPr>
      </xdr:nvPicPr>
      <xdr:blipFill rotWithShape="1">
        <a:blip xmlns:r="http://schemas.openxmlformats.org/officeDocument/2006/relationships" r:embed="rId3"/>
        <a:srcRect l="21253" t="24177" r="22906" b="43389"/>
        <a:stretch/>
      </xdr:blipFill>
      <xdr:spPr>
        <a:xfrm>
          <a:off x="4524375" y="841697"/>
          <a:ext cx="1676400" cy="689447"/>
        </a:xfrm>
        <a:prstGeom prst="rect">
          <a:avLst/>
        </a:prstGeom>
      </xdr:spPr>
    </xdr:pic>
    <xdr:clientData/>
  </xdr:twoCellAnchor>
  <xdr:twoCellAnchor editAs="oneCell">
    <xdr:from>
      <xdr:col>1</xdr:col>
      <xdr:colOff>133350</xdr:colOff>
      <xdr:row>7</xdr:row>
      <xdr:rowOff>0</xdr:rowOff>
    </xdr:from>
    <xdr:to>
      <xdr:col>1</xdr:col>
      <xdr:colOff>1239370</xdr:colOff>
      <xdr:row>11</xdr:row>
      <xdr:rowOff>344020</xdr:rowOff>
    </xdr:to>
    <xdr:pic>
      <xdr:nvPicPr>
        <xdr:cNvPr id="5" name="Platshållare för innehåll 6">
          <a:extLst>
            <a:ext uri="{FF2B5EF4-FFF2-40B4-BE49-F238E27FC236}">
              <a16:creationId xmlns:a16="http://schemas.microsoft.com/office/drawing/2014/main" id="{238961F1-CC77-4085-A9F5-CAAE7B27CA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17900" y="1581150"/>
          <a:ext cx="1106020" cy="1106020"/>
        </a:xfrm>
        <a:prstGeom prst="rect">
          <a:avLst/>
        </a:prstGeom>
      </xdr:spPr>
    </xdr:pic>
    <xdr:clientData/>
  </xdr:twoCellAnchor>
  <xdr:twoCellAnchor editAs="oneCell">
    <xdr:from>
      <xdr:col>0</xdr:col>
      <xdr:colOff>800100</xdr:colOff>
      <xdr:row>20</xdr:row>
      <xdr:rowOff>63500</xdr:rowOff>
    </xdr:from>
    <xdr:to>
      <xdr:col>0</xdr:col>
      <xdr:colOff>1866900</xdr:colOff>
      <xdr:row>24</xdr:row>
      <xdr:rowOff>361950</xdr:rowOff>
    </xdr:to>
    <xdr:pic>
      <xdr:nvPicPr>
        <xdr:cNvPr id="6" name="Bildobjekt 5">
          <a:extLst>
            <a:ext uri="{FF2B5EF4-FFF2-40B4-BE49-F238E27FC236}">
              <a16:creationId xmlns:a16="http://schemas.microsoft.com/office/drawing/2014/main" id="{008D4383-50C0-41C4-BCE5-266725F460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0100" y="4540250"/>
          <a:ext cx="1066800" cy="1066800"/>
        </a:xfrm>
        <a:prstGeom prst="rect">
          <a:avLst/>
        </a:prstGeom>
      </xdr:spPr>
    </xdr:pic>
    <xdr:clientData/>
  </xdr:twoCellAnchor>
  <xdr:twoCellAnchor>
    <xdr:from>
      <xdr:col>6</xdr:col>
      <xdr:colOff>1959429</xdr:colOff>
      <xdr:row>4</xdr:row>
      <xdr:rowOff>356508</xdr:rowOff>
    </xdr:from>
    <xdr:to>
      <xdr:col>12</xdr:col>
      <xdr:colOff>308429</xdr:colOff>
      <xdr:row>21</xdr:row>
      <xdr:rowOff>90715</xdr:rowOff>
    </xdr:to>
    <xdr:graphicFrame macro="">
      <xdr:nvGraphicFramePr>
        <xdr:cNvPr id="7" name="Diagram 6">
          <a:extLst>
            <a:ext uri="{FF2B5EF4-FFF2-40B4-BE49-F238E27FC236}">
              <a16:creationId xmlns:a16="http://schemas.microsoft.com/office/drawing/2014/main" id="{45B4ACAD-3CA8-4544-A6F9-FA12F43C3C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1959427</xdr:colOff>
      <xdr:row>22</xdr:row>
      <xdr:rowOff>172358</xdr:rowOff>
    </xdr:from>
    <xdr:to>
      <xdr:col>12</xdr:col>
      <xdr:colOff>353784</xdr:colOff>
      <xdr:row>39</xdr:row>
      <xdr:rowOff>45357</xdr:rowOff>
    </xdr:to>
    <xdr:graphicFrame macro="">
      <xdr:nvGraphicFramePr>
        <xdr:cNvPr id="8" name="Diagram 7">
          <a:extLst>
            <a:ext uri="{FF2B5EF4-FFF2-40B4-BE49-F238E27FC236}">
              <a16:creationId xmlns:a16="http://schemas.microsoft.com/office/drawing/2014/main" id="{84144507-B759-4F7A-A625-F60B837B2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366059</xdr:colOff>
      <xdr:row>2</xdr:row>
      <xdr:rowOff>247461</xdr:rowOff>
    </xdr:from>
    <xdr:to>
      <xdr:col>5</xdr:col>
      <xdr:colOff>1027205</xdr:colOff>
      <xdr:row>4</xdr:row>
      <xdr:rowOff>221773</xdr:rowOff>
    </xdr:to>
    <xdr:pic>
      <xdr:nvPicPr>
        <xdr:cNvPr id="3" name="Bildobjekt 2" descr="C:\Users\ceth\Pictures\Saved Pictures\EUlogo_v_RGB.png">
          <a:extLst>
            <a:ext uri="{FF2B5EF4-FFF2-40B4-BE49-F238E27FC236}">
              <a16:creationId xmlns:a16="http://schemas.microsoft.com/office/drawing/2014/main" id="{F1C3F32C-C4CD-4F36-BB36-D7B6F0216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1471" y="703167"/>
          <a:ext cx="2028263" cy="654135"/>
        </a:xfrm>
        <a:prstGeom prst="rect">
          <a:avLst/>
        </a:prstGeom>
        <a:noFill/>
        <a:ln>
          <a:noFill/>
        </a:ln>
      </xdr:spPr>
    </xdr:pic>
    <xdr:clientData/>
  </xdr:twoCellAnchor>
  <xdr:twoCellAnchor editAs="oneCell">
    <xdr:from>
      <xdr:col>2</xdr:col>
      <xdr:colOff>629944</xdr:colOff>
      <xdr:row>2</xdr:row>
      <xdr:rowOff>251121</xdr:rowOff>
    </xdr:from>
    <xdr:to>
      <xdr:col>4</xdr:col>
      <xdr:colOff>245155</xdr:colOff>
      <xdr:row>4</xdr:row>
      <xdr:rowOff>331818</xdr:rowOff>
    </xdr:to>
    <xdr:pic>
      <xdr:nvPicPr>
        <xdr:cNvPr id="4" name="Bildobjekt 3">
          <a:extLst>
            <a:ext uri="{FF2B5EF4-FFF2-40B4-BE49-F238E27FC236}">
              <a16:creationId xmlns:a16="http://schemas.microsoft.com/office/drawing/2014/main" id="{507F4D30-F383-4602-ABCB-645A256A0EEB}"/>
            </a:ext>
          </a:extLst>
        </xdr:cNvPr>
        <xdr:cNvPicPr>
          <a:picLocks noChangeAspect="1"/>
        </xdr:cNvPicPr>
      </xdr:nvPicPr>
      <xdr:blipFill rotWithShape="1">
        <a:blip xmlns:r="http://schemas.openxmlformats.org/officeDocument/2006/relationships" r:embed="rId2"/>
        <a:srcRect l="21253" t="24177" r="22906" b="43389"/>
        <a:stretch/>
      </xdr:blipFill>
      <xdr:spPr>
        <a:xfrm>
          <a:off x="4457873" y="699356"/>
          <a:ext cx="1919141" cy="762015"/>
        </a:xfrm>
        <a:prstGeom prst="rect">
          <a:avLst/>
        </a:prstGeom>
      </xdr:spPr>
    </xdr:pic>
    <xdr:clientData/>
  </xdr:twoCellAnchor>
  <xdr:twoCellAnchor>
    <xdr:from>
      <xdr:col>9</xdr:col>
      <xdr:colOff>209176</xdr:colOff>
      <xdr:row>9</xdr:row>
      <xdr:rowOff>194235</xdr:rowOff>
    </xdr:from>
    <xdr:to>
      <xdr:col>15</xdr:col>
      <xdr:colOff>479427</xdr:colOff>
      <xdr:row>32</xdr:row>
      <xdr:rowOff>17687</xdr:rowOff>
    </xdr:to>
    <xdr:graphicFrame macro="">
      <xdr:nvGraphicFramePr>
        <xdr:cNvPr id="5" name="Diagram 4">
          <a:extLst>
            <a:ext uri="{FF2B5EF4-FFF2-40B4-BE49-F238E27FC236}">
              <a16:creationId xmlns:a16="http://schemas.microsoft.com/office/drawing/2014/main" id="{92A69731-9141-48C3-805D-32CF554B7E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75454</xdr:colOff>
      <xdr:row>37</xdr:row>
      <xdr:rowOff>223682</xdr:rowOff>
    </xdr:from>
    <xdr:to>
      <xdr:col>17</xdr:col>
      <xdr:colOff>508000</xdr:colOff>
      <xdr:row>52</xdr:row>
      <xdr:rowOff>59764</xdr:rowOff>
    </xdr:to>
    <xdr:graphicFrame macro="">
      <xdr:nvGraphicFramePr>
        <xdr:cNvPr id="8" name="Diagram 7">
          <a:extLst>
            <a:ext uri="{FF2B5EF4-FFF2-40B4-BE49-F238E27FC236}">
              <a16:creationId xmlns:a16="http://schemas.microsoft.com/office/drawing/2014/main" id="{6159580E-E987-4E7F-8EE9-1BCD59554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1016001</xdr:colOff>
      <xdr:row>5</xdr:row>
      <xdr:rowOff>39635</xdr:rowOff>
    </xdr:from>
    <xdr:to>
      <xdr:col>2</xdr:col>
      <xdr:colOff>694765</xdr:colOff>
      <xdr:row>9</xdr:row>
      <xdr:rowOff>84458</xdr:rowOff>
    </xdr:to>
    <xdr:pic>
      <xdr:nvPicPr>
        <xdr:cNvPr id="6" name="Bildobjekt 5">
          <a:extLst>
            <a:ext uri="{FF2B5EF4-FFF2-40B4-BE49-F238E27FC236}">
              <a16:creationId xmlns:a16="http://schemas.microsoft.com/office/drawing/2014/main" id="{8B53CD25-FCEF-4E2E-B6FE-78336E6151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72648" y="1526282"/>
          <a:ext cx="806823" cy="806823"/>
        </a:xfrm>
        <a:prstGeom prst="rect">
          <a:avLst/>
        </a:prstGeom>
      </xdr:spPr>
    </xdr:pic>
    <xdr:clientData/>
  </xdr:twoCellAnchor>
  <xdr:twoCellAnchor editAs="oneCell">
    <xdr:from>
      <xdr:col>0</xdr:col>
      <xdr:colOff>2061882</xdr:colOff>
      <xdr:row>34</xdr:row>
      <xdr:rowOff>64122</xdr:rowOff>
    </xdr:from>
    <xdr:to>
      <xdr:col>0</xdr:col>
      <xdr:colOff>2675450</xdr:colOff>
      <xdr:row>37</xdr:row>
      <xdr:rowOff>58794</xdr:rowOff>
    </xdr:to>
    <xdr:pic>
      <xdr:nvPicPr>
        <xdr:cNvPr id="7" name="Bildobjekt 6">
          <a:extLst>
            <a:ext uri="{FF2B5EF4-FFF2-40B4-BE49-F238E27FC236}">
              <a16:creationId xmlns:a16="http://schemas.microsoft.com/office/drawing/2014/main" id="{09166219-FC1C-4621-AA32-E0144BDD6B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61882" y="6839946"/>
          <a:ext cx="613568" cy="562437"/>
        </a:xfrm>
        <a:prstGeom prst="rect">
          <a:avLst/>
        </a:prstGeom>
      </xdr:spPr>
    </xdr:pic>
    <xdr:clientData/>
  </xdr:twoCellAnchor>
  <xdr:twoCellAnchor>
    <xdr:from>
      <xdr:col>17</xdr:col>
      <xdr:colOff>559549</xdr:colOff>
      <xdr:row>37</xdr:row>
      <xdr:rowOff>225612</xdr:rowOff>
    </xdr:from>
    <xdr:to>
      <xdr:col>22</xdr:col>
      <xdr:colOff>612588</xdr:colOff>
      <xdr:row>52</xdr:row>
      <xdr:rowOff>29882</xdr:rowOff>
    </xdr:to>
    <xdr:graphicFrame macro="">
      <xdr:nvGraphicFramePr>
        <xdr:cNvPr id="9" name="Diagram 8">
          <a:extLst>
            <a:ext uri="{FF2B5EF4-FFF2-40B4-BE49-F238E27FC236}">
              <a16:creationId xmlns:a16="http://schemas.microsoft.com/office/drawing/2014/main" id="{99266E4F-0A16-4C3A-BA7E-3EC717E3D3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903941</xdr:colOff>
      <xdr:row>55</xdr:row>
      <xdr:rowOff>44825</xdr:rowOff>
    </xdr:from>
    <xdr:to>
      <xdr:col>16</xdr:col>
      <xdr:colOff>611839</xdr:colOff>
      <xdr:row>68</xdr:row>
      <xdr:rowOff>97118</xdr:rowOff>
    </xdr:to>
    <xdr:graphicFrame macro="">
      <xdr:nvGraphicFramePr>
        <xdr:cNvPr id="10" name="Diagram 9">
          <a:extLst>
            <a:ext uri="{FF2B5EF4-FFF2-40B4-BE49-F238E27FC236}">
              <a16:creationId xmlns:a16="http://schemas.microsoft.com/office/drawing/2014/main" id="{A01EA96E-1340-4178-8145-AF56CADAA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1479177</xdr:colOff>
      <xdr:row>2</xdr:row>
      <xdr:rowOff>211602</xdr:rowOff>
    </xdr:from>
    <xdr:to>
      <xdr:col>6</xdr:col>
      <xdr:colOff>257735</xdr:colOff>
      <xdr:row>4</xdr:row>
      <xdr:rowOff>185914</xdr:rowOff>
    </xdr:to>
    <xdr:pic>
      <xdr:nvPicPr>
        <xdr:cNvPr id="2" name="Bildobjekt 1" descr="C:\Users\ceth\Pictures\Saved Pictures\EUlogo_v_RGB.png">
          <a:extLst>
            <a:ext uri="{FF2B5EF4-FFF2-40B4-BE49-F238E27FC236}">
              <a16:creationId xmlns:a16="http://schemas.microsoft.com/office/drawing/2014/main" id="{812D347B-475D-4E72-B801-8F98CC2E8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1812" y="659837"/>
          <a:ext cx="2005852" cy="655630"/>
        </a:xfrm>
        <a:prstGeom prst="rect">
          <a:avLst/>
        </a:prstGeom>
        <a:noFill/>
        <a:ln>
          <a:noFill/>
        </a:ln>
      </xdr:spPr>
    </xdr:pic>
    <xdr:clientData/>
  </xdr:twoCellAnchor>
  <xdr:twoCellAnchor editAs="oneCell">
    <xdr:from>
      <xdr:col>2</xdr:col>
      <xdr:colOff>629944</xdr:colOff>
      <xdr:row>2</xdr:row>
      <xdr:rowOff>206298</xdr:rowOff>
    </xdr:from>
    <xdr:to>
      <xdr:col>3</xdr:col>
      <xdr:colOff>1204379</xdr:colOff>
      <xdr:row>4</xdr:row>
      <xdr:rowOff>286995</xdr:rowOff>
    </xdr:to>
    <xdr:pic>
      <xdr:nvPicPr>
        <xdr:cNvPr id="3" name="Bildobjekt 2">
          <a:extLst>
            <a:ext uri="{FF2B5EF4-FFF2-40B4-BE49-F238E27FC236}">
              <a16:creationId xmlns:a16="http://schemas.microsoft.com/office/drawing/2014/main" id="{1AA78749-E9C2-42C0-B54A-AE041F21E05F}"/>
            </a:ext>
          </a:extLst>
        </xdr:cNvPr>
        <xdr:cNvPicPr>
          <a:picLocks noChangeAspect="1"/>
        </xdr:cNvPicPr>
      </xdr:nvPicPr>
      <xdr:blipFill rotWithShape="1">
        <a:blip xmlns:r="http://schemas.openxmlformats.org/officeDocument/2006/relationships" r:embed="rId2"/>
        <a:srcRect l="21253" t="24177" r="22906" b="43389"/>
        <a:stretch/>
      </xdr:blipFill>
      <xdr:spPr>
        <a:xfrm>
          <a:off x="4455184" y="655878"/>
          <a:ext cx="1924071" cy="758877"/>
        </a:xfrm>
        <a:prstGeom prst="rect">
          <a:avLst/>
        </a:prstGeom>
      </xdr:spPr>
    </xdr:pic>
    <xdr:clientData/>
  </xdr:twoCellAnchor>
  <xdr:twoCellAnchor>
    <xdr:from>
      <xdr:col>3</xdr:col>
      <xdr:colOff>1509059</xdr:colOff>
      <xdr:row>9</xdr:row>
      <xdr:rowOff>346634</xdr:rowOff>
    </xdr:from>
    <xdr:to>
      <xdr:col>10</xdr:col>
      <xdr:colOff>264274</xdr:colOff>
      <xdr:row>31</xdr:row>
      <xdr:rowOff>170086</xdr:rowOff>
    </xdr:to>
    <xdr:graphicFrame macro="">
      <xdr:nvGraphicFramePr>
        <xdr:cNvPr id="4" name="Diagram 3">
          <a:extLst>
            <a:ext uri="{FF2B5EF4-FFF2-40B4-BE49-F238E27FC236}">
              <a16:creationId xmlns:a16="http://schemas.microsoft.com/office/drawing/2014/main" id="{9A1B9335-8AF6-4022-BE7E-8D708881C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851647</xdr:colOff>
      <xdr:row>5</xdr:row>
      <xdr:rowOff>8965</xdr:rowOff>
    </xdr:from>
    <xdr:to>
      <xdr:col>0</xdr:col>
      <xdr:colOff>1488141</xdr:colOff>
      <xdr:row>8</xdr:row>
      <xdr:rowOff>89647</xdr:rowOff>
    </xdr:to>
    <xdr:pic>
      <xdr:nvPicPr>
        <xdr:cNvPr id="10" name="Bild 9" descr="Bil">
          <a:extLst>
            <a:ext uri="{FF2B5EF4-FFF2-40B4-BE49-F238E27FC236}">
              <a16:creationId xmlns:a16="http://schemas.microsoft.com/office/drawing/2014/main" id="{2BAF02CB-5DCC-4DEC-81A7-B6CCE34C48F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1647" y="1488141"/>
          <a:ext cx="636494" cy="636494"/>
        </a:xfrm>
        <a:prstGeom prst="rect">
          <a:avLst/>
        </a:prstGeom>
      </xdr:spPr>
    </xdr:pic>
    <xdr:clientData/>
  </xdr:twoCellAnchor>
  <xdr:twoCellAnchor editAs="oneCell">
    <xdr:from>
      <xdr:col>0</xdr:col>
      <xdr:colOff>1541929</xdr:colOff>
      <xdr:row>5</xdr:row>
      <xdr:rowOff>129097</xdr:rowOff>
    </xdr:from>
    <xdr:to>
      <xdr:col>0</xdr:col>
      <xdr:colOff>2187388</xdr:colOff>
      <xdr:row>7</xdr:row>
      <xdr:rowOff>146122</xdr:rowOff>
    </xdr:to>
    <xdr:pic>
      <xdr:nvPicPr>
        <xdr:cNvPr id="13" name="Bildobjekt 12">
          <a:extLst>
            <a:ext uri="{FF2B5EF4-FFF2-40B4-BE49-F238E27FC236}">
              <a16:creationId xmlns:a16="http://schemas.microsoft.com/office/drawing/2014/main" id="{B5EB3A30-16D9-41B2-AB4B-0476B94DBE4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1929" y="1608273"/>
          <a:ext cx="645459" cy="393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277905</xdr:colOff>
      <xdr:row>9</xdr:row>
      <xdr:rowOff>340659</xdr:rowOff>
    </xdr:from>
    <xdr:to>
      <xdr:col>15</xdr:col>
      <xdr:colOff>297145</xdr:colOff>
      <xdr:row>31</xdr:row>
      <xdr:rowOff>164111</xdr:rowOff>
    </xdr:to>
    <xdr:graphicFrame macro="">
      <xdr:nvGraphicFramePr>
        <xdr:cNvPr id="7" name="Diagram 6">
          <a:extLst>
            <a:ext uri="{FF2B5EF4-FFF2-40B4-BE49-F238E27FC236}">
              <a16:creationId xmlns:a16="http://schemas.microsoft.com/office/drawing/2014/main" id="{1ED9F345-870B-4FA1-90C5-2276078ED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97972</xdr:colOff>
      <xdr:row>49</xdr:row>
      <xdr:rowOff>141514</xdr:rowOff>
    </xdr:from>
    <xdr:to>
      <xdr:col>10</xdr:col>
      <xdr:colOff>631371</xdr:colOff>
      <xdr:row>68</xdr:row>
      <xdr:rowOff>136536</xdr:rowOff>
    </xdr:to>
    <xdr:pic>
      <xdr:nvPicPr>
        <xdr:cNvPr id="5" name="Bildobjekt 4">
          <a:extLst>
            <a:ext uri="{FF2B5EF4-FFF2-40B4-BE49-F238E27FC236}">
              <a16:creationId xmlns:a16="http://schemas.microsoft.com/office/drawing/2014/main" id="{9FED7E10-F492-465D-8368-34CBE3B30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9029" y="13911943"/>
          <a:ext cx="3058885" cy="4381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130628</xdr:colOff>
      <xdr:row>72</xdr:row>
      <xdr:rowOff>119746</xdr:rowOff>
    </xdr:from>
    <xdr:to>
      <xdr:col>9</xdr:col>
      <xdr:colOff>177286</xdr:colOff>
      <xdr:row>90</xdr:row>
      <xdr:rowOff>130630</xdr:rowOff>
    </xdr:to>
    <xdr:pic>
      <xdr:nvPicPr>
        <xdr:cNvPr id="6" name="Bildobjekt 5">
          <a:extLst>
            <a:ext uri="{FF2B5EF4-FFF2-40B4-BE49-F238E27FC236}">
              <a16:creationId xmlns:a16="http://schemas.microsoft.com/office/drawing/2014/main" id="{21FC9A53-4292-49F7-A759-7F77D2580A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74228" y="15936689"/>
          <a:ext cx="5456858" cy="3341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101</xdr:row>
      <xdr:rowOff>45720</xdr:rowOff>
    </xdr:from>
    <xdr:to>
      <xdr:col>4</xdr:col>
      <xdr:colOff>960120</xdr:colOff>
      <xdr:row>130</xdr:row>
      <xdr:rowOff>137160</xdr:rowOff>
    </xdr:to>
    <xdr:pic>
      <xdr:nvPicPr>
        <xdr:cNvPr id="10" name="Bildobjekt 9">
          <a:extLst>
            <a:ext uri="{FF2B5EF4-FFF2-40B4-BE49-F238E27FC236}">
              <a16:creationId xmlns:a16="http://schemas.microsoft.com/office/drawing/2014/main" id="{3E5F6010-5C99-4E90-BF86-3747DF132C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29504640"/>
          <a:ext cx="5501640" cy="5394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xdr:colOff>
      <xdr:row>53</xdr:row>
      <xdr:rowOff>4694</xdr:rowOff>
    </xdr:from>
    <xdr:to>
      <xdr:col>3</xdr:col>
      <xdr:colOff>723900</xdr:colOff>
      <xdr:row>58</xdr:row>
      <xdr:rowOff>10095</xdr:rowOff>
    </xdr:to>
    <xdr:pic>
      <xdr:nvPicPr>
        <xdr:cNvPr id="3" name="Bildobjekt 2">
          <a:extLst>
            <a:ext uri="{FF2B5EF4-FFF2-40B4-BE49-F238E27FC236}">
              <a16:creationId xmlns:a16="http://schemas.microsoft.com/office/drawing/2014/main" id="{789F31B7-0AE7-487F-81AC-7E4DEA41B18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30000"/>
                  </a14:imgEffect>
                  <a14:imgEffect>
                    <a14:brightnessContrast bright="-3000" contrast="9000"/>
                  </a14:imgEffect>
                </a14:imgLayer>
              </a14:imgProps>
            </a:ext>
          </a:extLst>
        </a:blip>
        <a:stretch>
          <a:fillRect/>
        </a:stretch>
      </xdr:blipFill>
      <xdr:spPr>
        <a:xfrm>
          <a:off x="6350" y="11548994"/>
          <a:ext cx="7016750" cy="1294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ade_dokument/Klimat%20och%20Energi/Fossilbr&#228;nslefria%20kommuner%202.0/Aktiviteter/A1.%20Kommunutmaningen/2021/-=%20Totalen%202021%20(ERUF)/FBF-kom2-Sammanslagning%20EL-UPPV-DRIV-TJ-vers_220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äshänvisning"/>
      <sheetName val="Nykeltal - kommun"/>
      <sheetName val="Växthusgasutsläppomräknfaktorer"/>
      <sheetName val="Alla-2019- EL-UPPV-DRIVM-TJ-CO2"/>
      <sheetName val="Alla-2020- EL-UPPV-DRIVM-TJ-CO2"/>
      <sheetName val="Alla-TJANSTRESOR-allaÅr-KM"/>
      <sheetName val="El-samtliga kommuner 2021"/>
      <sheetName val="UPPV- samtliga kommuner 2021"/>
      <sheetName val="DRIVM- samtliga kommuner 2021"/>
      <sheetName val="TJÄNSTRES-samliga kommuner 2021"/>
      <sheetName val="FORDON-samliga kommuner 2021"/>
      <sheetName val="Alla FBF-kom. 2019"/>
      <sheetName val="Alla FBF-kom. 2020 "/>
      <sheetName val="Eslöv 2015-2021"/>
      <sheetName val="Helsingborg 2015-2021"/>
      <sheetName val="Höör 2015-2021"/>
      <sheetName val="Kristianstad 2015-2021"/>
      <sheetName val="Lund 2015-2021"/>
      <sheetName val="Malmö 2015-2021"/>
      <sheetName val="Tomelilla 2015-2021"/>
      <sheetName val="Rapport TVV o Utv 2021"/>
      <sheetName val="Förenklad uppföljning mål 2021"/>
      <sheetName val="Rapport TVV och Utv 2020"/>
      <sheetName val="Förenklad uppföljning mål 2020"/>
      <sheetName val="El-samtliga kommuner 2020"/>
      <sheetName val="UPPV- samtliga kommuner 2020"/>
      <sheetName val="DRIVM- samtliga kommuner 2020"/>
      <sheetName val="TJÄNSTRES-samliga kommuner 2020"/>
      <sheetName val="EL- samtliga kommuner 2019"/>
      <sheetName val="UPPV-samtliga kommuner 2019"/>
      <sheetName val="DRIVM-samtliga kommuner 2019"/>
      <sheetName val="TJÄNSRES-samtliga kommuner 2019"/>
      <sheetName val="Alla-2015- EL-UPPV-DRIVM-CO2"/>
      <sheetName val="Alla-2016- EL-UPPV-DRIVM-CO2"/>
      <sheetName val="Alla-2017- EL-UPPV-DRIVM-CO2"/>
      <sheetName val="Alla-2018- EL-UPPV-DRIVM-CO2"/>
      <sheetName val="Tjänstresor figurer analys 2019"/>
      <sheetName val="CO2 figurer analys 2019"/>
      <sheetName val="Sammanställn 2015-2018"/>
      <sheetName val="Drivmedelsförd 2018 + 2020 7st"/>
      <sheetName val="Analys Biogasanv 2015-2020"/>
      <sheetName val="Biogas i 4 största"/>
      <sheetName val="Alla FBF-kom. 2019 11st"/>
      <sheetName val="Alla FBF-kom. 2018"/>
    </sheetNames>
    <sheetDataSet>
      <sheetData sheetId="0" refreshError="1"/>
      <sheetData sheetId="1" refreshError="1"/>
      <sheetData sheetId="2">
        <row r="48">
          <cell r="C48">
            <v>9.6388888888888893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persons/person.xml><?xml version="1.0" encoding="utf-8"?>
<personList xmlns="http://schemas.microsoft.com/office/spreadsheetml/2018/threadedcomments" xmlns:x="http://schemas.openxmlformats.org/spreadsheetml/2006/main">
  <person displayName="Elamzon Johannes" id="{AFA63E88-D107-427B-9E10-76F4F83C1061}" userId="S::johannes.elamzon@lansstyrelsen.se::a81828c6-5956-4469-a905-1e4fe056c1fe"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E6" dT="2021-02-11T08:28:20.24" personId="{AFA63E88-D107-427B-9E10-76F4F83C1061}" id="{A1352B7A-CB21-4645-974D-268735E13739}">
    <text>1 kWh = 3,6 MJ</text>
  </threadedComment>
  <threadedComment ref="E6" dT="2021-02-11T08:29:27.23" personId="{AFA63E88-D107-427B-9E10-76F4F83C1061}" id="{07D3C7C6-F272-46C8-9D04-C3E9683BF619}" parentId="{A1352B7A-CB21-4645-974D-268735E13739}">
    <text>1 MJ =0.277778 kWh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energimyndigheten.se/fornybart/hallbarhetskriterier/drivmedelslagen/vaxthusgasutslapp/%20(Datum%2020-12-07)" TargetMode="External"/><Relationship Id="rId6" Type="http://schemas.microsoft.com/office/2017/10/relationships/threadedComment" Target="../threadedComments/threadedComment1.xm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2DFD-F434-45AD-81AC-F22705FAFFAE}">
  <sheetPr>
    <pageSetUpPr fitToPage="1"/>
  </sheetPr>
  <dimension ref="A1:E75"/>
  <sheetViews>
    <sheetView zoomScale="85" zoomScaleNormal="85" workbookViewId="0">
      <selection activeCell="I8" sqref="I8"/>
    </sheetView>
  </sheetViews>
  <sheetFormatPr defaultRowHeight="14.4" x14ac:dyDescent="0.3"/>
  <cols>
    <col min="1" max="1" width="47.33203125" customWidth="1"/>
    <col min="2" max="2" width="20.6640625" customWidth="1"/>
    <col min="3" max="3" width="18.33203125" customWidth="1"/>
    <col min="4" max="4" width="19.6640625" customWidth="1"/>
    <col min="5" max="5" width="21.5546875" customWidth="1"/>
  </cols>
  <sheetData>
    <row r="1" spans="1:5" x14ac:dyDescent="0.3">
      <c r="A1" s="374" t="s">
        <v>454</v>
      </c>
      <c r="B1" s="375"/>
      <c r="C1" s="375"/>
      <c r="D1" s="375"/>
      <c r="E1" s="376"/>
    </row>
    <row r="2" spans="1:5" x14ac:dyDescent="0.3">
      <c r="A2" s="377"/>
      <c r="B2" s="378"/>
      <c r="C2" s="378"/>
      <c r="D2" s="378"/>
      <c r="E2" s="379"/>
    </row>
    <row r="3" spans="1:5" x14ac:dyDescent="0.3">
      <c r="A3" s="377"/>
      <c r="B3" s="378"/>
      <c r="C3" s="378"/>
      <c r="D3" s="378"/>
      <c r="E3" s="379"/>
    </row>
    <row r="4" spans="1:5" ht="31.5" customHeight="1" x14ac:dyDescent="0.3">
      <c r="A4" s="377"/>
      <c r="B4" s="378"/>
      <c r="C4" s="378"/>
      <c r="D4" s="378"/>
      <c r="E4" s="379"/>
    </row>
    <row r="5" spans="1:5" ht="55.8" customHeight="1" x14ac:dyDescent="0.3">
      <c r="A5" s="377"/>
      <c r="B5" s="378"/>
      <c r="C5" s="378"/>
      <c r="D5" s="378"/>
      <c r="E5" s="379"/>
    </row>
    <row r="6" spans="1:5" ht="10.8" customHeight="1" x14ac:dyDescent="0.3">
      <c r="A6" s="377"/>
      <c r="B6" s="378"/>
      <c r="C6" s="378"/>
      <c r="D6" s="378"/>
      <c r="E6" s="379"/>
    </row>
    <row r="7" spans="1:5" ht="9" customHeight="1" thickBot="1" x14ac:dyDescent="0.35">
      <c r="A7" s="380"/>
      <c r="B7" s="381"/>
      <c r="C7" s="381"/>
      <c r="D7" s="381"/>
      <c r="E7" s="382"/>
    </row>
    <row r="8" spans="1:5" x14ac:dyDescent="0.3">
      <c r="A8" t="s">
        <v>473</v>
      </c>
    </row>
    <row r="10" spans="1:5" ht="15.6" x14ac:dyDescent="0.3">
      <c r="A10" s="11" t="s">
        <v>263</v>
      </c>
    </row>
    <row r="12" spans="1:5" ht="15" thickBot="1" x14ac:dyDescent="0.35">
      <c r="A12" s="85" t="s">
        <v>419</v>
      </c>
    </row>
    <row r="13" spans="1:5" x14ac:dyDescent="0.3">
      <c r="A13" s="385"/>
      <c r="B13" s="375"/>
      <c r="C13" s="375"/>
      <c r="D13" s="375"/>
      <c r="E13" s="376"/>
    </row>
    <row r="14" spans="1:5" x14ac:dyDescent="0.3">
      <c r="A14" s="377"/>
      <c r="B14" s="378"/>
      <c r="C14" s="378"/>
      <c r="D14" s="378"/>
      <c r="E14" s="379"/>
    </row>
    <row r="15" spans="1:5" x14ac:dyDescent="0.3">
      <c r="A15" s="377"/>
      <c r="B15" s="378"/>
      <c r="C15" s="378"/>
      <c r="D15" s="378"/>
      <c r="E15" s="379"/>
    </row>
    <row r="16" spans="1:5" x14ac:dyDescent="0.3">
      <c r="A16" s="377"/>
      <c r="B16" s="378"/>
      <c r="C16" s="378"/>
      <c r="D16" s="378"/>
      <c r="E16" s="379"/>
    </row>
    <row r="17" spans="1:5" x14ac:dyDescent="0.3">
      <c r="A17" s="377"/>
      <c r="B17" s="378"/>
      <c r="C17" s="378"/>
      <c r="D17" s="378"/>
      <c r="E17" s="379"/>
    </row>
    <row r="18" spans="1:5" x14ac:dyDescent="0.3">
      <c r="A18" s="377"/>
      <c r="B18" s="378"/>
      <c r="C18" s="378"/>
      <c r="D18" s="378"/>
      <c r="E18" s="379"/>
    </row>
    <row r="19" spans="1:5" ht="15" thickBot="1" x14ac:dyDescent="0.35">
      <c r="A19" s="380"/>
      <c r="B19" s="381"/>
      <c r="C19" s="381"/>
      <c r="D19" s="381"/>
      <c r="E19" s="382"/>
    </row>
    <row r="20" spans="1:5" x14ac:dyDescent="0.3">
      <c r="A20" s="86"/>
      <c r="B20" s="86"/>
      <c r="C20" s="86"/>
      <c r="D20" s="86"/>
      <c r="E20" s="86"/>
    </row>
    <row r="21" spans="1:5" ht="15" thickBot="1" x14ac:dyDescent="0.35">
      <c r="A21" s="85" t="s">
        <v>420</v>
      </c>
    </row>
    <row r="22" spans="1:5" x14ac:dyDescent="0.3">
      <c r="A22" s="374"/>
      <c r="B22" s="375"/>
      <c r="C22" s="375"/>
      <c r="D22" s="375"/>
      <c r="E22" s="376"/>
    </row>
    <row r="23" spans="1:5" x14ac:dyDescent="0.3">
      <c r="A23" s="377"/>
      <c r="B23" s="378"/>
      <c r="C23" s="378"/>
      <c r="D23" s="378"/>
      <c r="E23" s="379"/>
    </row>
    <row r="24" spans="1:5" x14ac:dyDescent="0.3">
      <c r="A24" s="377"/>
      <c r="B24" s="378"/>
      <c r="C24" s="378"/>
      <c r="D24" s="378"/>
      <c r="E24" s="379"/>
    </row>
    <row r="25" spans="1:5" x14ac:dyDescent="0.3">
      <c r="A25" s="377"/>
      <c r="B25" s="378"/>
      <c r="C25" s="378"/>
      <c r="D25" s="378"/>
      <c r="E25" s="379"/>
    </row>
    <row r="26" spans="1:5" x14ac:dyDescent="0.3">
      <c r="A26" s="377"/>
      <c r="B26" s="378"/>
      <c r="C26" s="378"/>
      <c r="D26" s="378"/>
      <c r="E26" s="379"/>
    </row>
    <row r="27" spans="1:5" x14ac:dyDescent="0.3">
      <c r="A27" s="377"/>
      <c r="B27" s="378"/>
      <c r="C27" s="378"/>
      <c r="D27" s="378"/>
      <c r="E27" s="379"/>
    </row>
    <row r="28" spans="1:5" ht="15" thickBot="1" x14ac:dyDescent="0.35">
      <c r="A28" s="380"/>
      <c r="B28" s="381"/>
      <c r="C28" s="381"/>
      <c r="D28" s="381"/>
      <c r="E28" s="382"/>
    </row>
    <row r="30" spans="1:5" ht="15" thickBot="1" x14ac:dyDescent="0.35">
      <c r="A30" s="85" t="s">
        <v>421</v>
      </c>
    </row>
    <row r="31" spans="1:5" x14ac:dyDescent="0.3">
      <c r="A31" s="374"/>
      <c r="B31" s="375"/>
      <c r="C31" s="375"/>
      <c r="D31" s="375"/>
      <c r="E31" s="376"/>
    </row>
    <row r="32" spans="1:5" x14ac:dyDescent="0.3">
      <c r="A32" s="377"/>
      <c r="B32" s="378"/>
      <c r="C32" s="378"/>
      <c r="D32" s="378"/>
      <c r="E32" s="379"/>
    </row>
    <row r="33" spans="1:5" x14ac:dyDescent="0.3">
      <c r="A33" s="377"/>
      <c r="B33" s="378"/>
      <c r="C33" s="378"/>
      <c r="D33" s="378"/>
      <c r="E33" s="379"/>
    </row>
    <row r="34" spans="1:5" x14ac:dyDescent="0.3">
      <c r="A34" s="377"/>
      <c r="B34" s="378"/>
      <c r="C34" s="378"/>
      <c r="D34" s="378"/>
      <c r="E34" s="379"/>
    </row>
    <row r="35" spans="1:5" x14ac:dyDescent="0.3">
      <c r="A35" s="377"/>
      <c r="B35" s="378"/>
      <c r="C35" s="378"/>
      <c r="D35" s="378"/>
      <c r="E35" s="379"/>
    </row>
    <row r="36" spans="1:5" x14ac:dyDescent="0.3">
      <c r="A36" s="377"/>
      <c r="B36" s="378"/>
      <c r="C36" s="378"/>
      <c r="D36" s="378"/>
      <c r="E36" s="379"/>
    </row>
    <row r="37" spans="1:5" ht="15" thickBot="1" x14ac:dyDescent="0.35">
      <c r="A37" s="380"/>
      <c r="B37" s="381"/>
      <c r="C37" s="381"/>
      <c r="D37" s="381"/>
      <c r="E37" s="382"/>
    </row>
    <row r="39" spans="1:5" ht="15" thickBot="1" x14ac:dyDescent="0.35">
      <c r="A39" s="85" t="s">
        <v>422</v>
      </c>
    </row>
    <row r="40" spans="1:5" x14ac:dyDescent="0.3">
      <c r="A40" s="374"/>
      <c r="B40" s="375"/>
      <c r="C40" s="375"/>
      <c r="D40" s="375"/>
      <c r="E40" s="376"/>
    </row>
    <row r="41" spans="1:5" x14ac:dyDescent="0.3">
      <c r="A41" s="377"/>
      <c r="B41" s="378"/>
      <c r="C41" s="378"/>
      <c r="D41" s="378"/>
      <c r="E41" s="379"/>
    </row>
    <row r="42" spans="1:5" x14ac:dyDescent="0.3">
      <c r="A42" s="377"/>
      <c r="B42" s="378"/>
      <c r="C42" s="378"/>
      <c r="D42" s="378"/>
      <c r="E42" s="379"/>
    </row>
    <row r="43" spans="1:5" x14ac:dyDescent="0.3">
      <c r="A43" s="377"/>
      <c r="B43" s="378"/>
      <c r="C43" s="378"/>
      <c r="D43" s="378"/>
      <c r="E43" s="379"/>
    </row>
    <row r="44" spans="1:5" x14ac:dyDescent="0.3">
      <c r="A44" s="377"/>
      <c r="B44" s="378"/>
      <c r="C44" s="378"/>
      <c r="D44" s="378"/>
      <c r="E44" s="379"/>
    </row>
    <row r="45" spans="1:5" x14ac:dyDescent="0.3">
      <c r="A45" s="377"/>
      <c r="B45" s="378"/>
      <c r="C45" s="378"/>
      <c r="D45" s="378"/>
      <c r="E45" s="379"/>
    </row>
    <row r="46" spans="1:5" x14ac:dyDescent="0.3">
      <c r="A46" s="377"/>
      <c r="B46" s="378"/>
      <c r="C46" s="378"/>
      <c r="D46" s="378"/>
      <c r="E46" s="379"/>
    </row>
    <row r="47" spans="1:5" x14ac:dyDescent="0.3">
      <c r="A47" s="377"/>
      <c r="B47" s="378"/>
      <c r="C47" s="378"/>
      <c r="D47" s="378"/>
      <c r="E47" s="379"/>
    </row>
    <row r="48" spans="1:5" x14ac:dyDescent="0.3">
      <c r="A48" s="377"/>
      <c r="B48" s="378"/>
      <c r="C48" s="378"/>
      <c r="D48" s="378"/>
      <c r="E48" s="379"/>
    </row>
    <row r="49" spans="1:5" ht="15" thickBot="1" x14ac:dyDescent="0.35">
      <c r="A49" s="380"/>
      <c r="B49" s="381"/>
      <c r="C49" s="381"/>
      <c r="D49" s="381"/>
      <c r="E49" s="382"/>
    </row>
    <row r="51" spans="1:5" x14ac:dyDescent="0.3">
      <c r="A51" s="383" t="s">
        <v>424</v>
      </c>
      <c r="B51" s="386"/>
      <c r="C51" s="386"/>
      <c r="D51" s="386"/>
      <c r="E51" s="386"/>
    </row>
    <row r="52" spans="1:5" ht="15" thickBot="1" x14ac:dyDescent="0.35">
      <c r="A52" s="387"/>
      <c r="B52" s="387"/>
      <c r="C52" s="387"/>
      <c r="D52" s="387"/>
      <c r="E52" s="387"/>
    </row>
    <row r="53" spans="1:5" x14ac:dyDescent="0.3">
      <c r="A53" s="374"/>
      <c r="B53" s="375"/>
      <c r="C53" s="375"/>
      <c r="D53" s="375"/>
      <c r="E53" s="376"/>
    </row>
    <row r="54" spans="1:5" x14ac:dyDescent="0.3">
      <c r="A54" s="377"/>
      <c r="B54" s="378"/>
      <c r="C54" s="378"/>
      <c r="D54" s="378"/>
      <c r="E54" s="379"/>
    </row>
    <row r="55" spans="1:5" x14ac:dyDescent="0.3">
      <c r="A55" s="377"/>
      <c r="B55" s="378"/>
      <c r="C55" s="378"/>
      <c r="D55" s="378"/>
      <c r="E55" s="379"/>
    </row>
    <row r="56" spans="1:5" x14ac:dyDescent="0.3">
      <c r="A56" s="377"/>
      <c r="B56" s="378"/>
      <c r="C56" s="378"/>
      <c r="D56" s="378"/>
      <c r="E56" s="379"/>
    </row>
    <row r="57" spans="1:5" x14ac:dyDescent="0.3">
      <c r="A57" s="377"/>
      <c r="B57" s="378"/>
      <c r="C57" s="378"/>
      <c r="D57" s="378"/>
      <c r="E57" s="379"/>
    </row>
    <row r="58" spans="1:5" x14ac:dyDescent="0.3">
      <c r="A58" s="377"/>
      <c r="B58" s="378"/>
      <c r="C58" s="378"/>
      <c r="D58" s="378"/>
      <c r="E58" s="379"/>
    </row>
    <row r="59" spans="1:5" x14ac:dyDescent="0.3">
      <c r="A59" s="377"/>
      <c r="B59" s="378"/>
      <c r="C59" s="378"/>
      <c r="D59" s="378"/>
      <c r="E59" s="379"/>
    </row>
    <row r="60" spans="1:5" x14ac:dyDescent="0.3">
      <c r="A60" s="377"/>
      <c r="B60" s="378"/>
      <c r="C60" s="378"/>
      <c r="D60" s="378"/>
      <c r="E60" s="379"/>
    </row>
    <row r="61" spans="1:5" x14ac:dyDescent="0.3">
      <c r="A61" s="377"/>
      <c r="B61" s="378"/>
      <c r="C61" s="378"/>
      <c r="D61" s="378"/>
      <c r="E61" s="379"/>
    </row>
    <row r="62" spans="1:5" ht="15" thickBot="1" x14ac:dyDescent="0.35">
      <c r="A62" s="380"/>
      <c r="B62" s="381"/>
      <c r="C62" s="381"/>
      <c r="D62" s="381"/>
      <c r="E62" s="382"/>
    </row>
    <row r="64" spans="1:5" x14ac:dyDescent="0.3">
      <c r="A64" s="383" t="s">
        <v>426</v>
      </c>
      <c r="B64" s="383"/>
      <c r="C64" s="383"/>
      <c r="D64" s="383"/>
      <c r="E64" s="383"/>
    </row>
    <row r="65" spans="1:5" ht="15" thickBot="1" x14ac:dyDescent="0.35">
      <c r="A65" s="384"/>
      <c r="B65" s="384"/>
      <c r="C65" s="384"/>
      <c r="D65" s="384"/>
      <c r="E65" s="384"/>
    </row>
    <row r="66" spans="1:5" x14ac:dyDescent="0.3">
      <c r="A66" s="374"/>
      <c r="B66" s="375"/>
      <c r="C66" s="375"/>
      <c r="D66" s="375"/>
      <c r="E66" s="376"/>
    </row>
    <row r="67" spans="1:5" x14ac:dyDescent="0.3">
      <c r="A67" s="377"/>
      <c r="B67" s="378"/>
      <c r="C67" s="378"/>
      <c r="D67" s="378"/>
      <c r="E67" s="379"/>
    </row>
    <row r="68" spans="1:5" x14ac:dyDescent="0.3">
      <c r="A68" s="377"/>
      <c r="B68" s="378"/>
      <c r="C68" s="378"/>
      <c r="D68" s="378"/>
      <c r="E68" s="379"/>
    </row>
    <row r="69" spans="1:5" x14ac:dyDescent="0.3">
      <c r="A69" s="377"/>
      <c r="B69" s="378"/>
      <c r="C69" s="378"/>
      <c r="D69" s="378"/>
      <c r="E69" s="379"/>
    </row>
    <row r="70" spans="1:5" x14ac:dyDescent="0.3">
      <c r="A70" s="377"/>
      <c r="B70" s="378"/>
      <c r="C70" s="378"/>
      <c r="D70" s="378"/>
      <c r="E70" s="379"/>
    </row>
    <row r="71" spans="1:5" x14ac:dyDescent="0.3">
      <c r="A71" s="377"/>
      <c r="B71" s="378"/>
      <c r="C71" s="378"/>
      <c r="D71" s="378"/>
      <c r="E71" s="379"/>
    </row>
    <row r="72" spans="1:5" x14ac:dyDescent="0.3">
      <c r="A72" s="377"/>
      <c r="B72" s="378"/>
      <c r="C72" s="378"/>
      <c r="D72" s="378"/>
      <c r="E72" s="379"/>
    </row>
    <row r="73" spans="1:5" x14ac:dyDescent="0.3">
      <c r="A73" s="377"/>
      <c r="B73" s="378"/>
      <c r="C73" s="378"/>
      <c r="D73" s="378"/>
      <c r="E73" s="379"/>
    </row>
    <row r="74" spans="1:5" x14ac:dyDescent="0.3">
      <c r="A74" s="377"/>
      <c r="B74" s="378"/>
      <c r="C74" s="378"/>
      <c r="D74" s="378"/>
      <c r="E74" s="379"/>
    </row>
    <row r="75" spans="1:5" ht="15" thickBot="1" x14ac:dyDescent="0.35">
      <c r="A75" s="380"/>
      <c r="B75" s="381"/>
      <c r="C75" s="381"/>
      <c r="D75" s="381"/>
      <c r="E75" s="382"/>
    </row>
  </sheetData>
  <mergeCells count="9">
    <mergeCell ref="A53:E62"/>
    <mergeCell ref="A66:E75"/>
    <mergeCell ref="A64:E65"/>
    <mergeCell ref="A1:E7"/>
    <mergeCell ref="A13:E19"/>
    <mergeCell ref="A22:E28"/>
    <mergeCell ref="A31:E37"/>
    <mergeCell ref="A40:E49"/>
    <mergeCell ref="A51:E52"/>
  </mergeCell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37B0-7743-4446-8562-54A7578F16AA}">
  <sheetPr>
    <pageSetUpPr fitToPage="1"/>
  </sheetPr>
  <dimension ref="A1:E75"/>
  <sheetViews>
    <sheetView topLeftCell="A40" zoomScale="85" zoomScaleNormal="85" workbookViewId="0">
      <selection activeCell="K53" sqref="K53"/>
    </sheetView>
  </sheetViews>
  <sheetFormatPr defaultRowHeight="14.4" x14ac:dyDescent="0.3"/>
  <cols>
    <col min="1" max="1" width="47.33203125" customWidth="1"/>
    <col min="2" max="2" width="20.6640625" customWidth="1"/>
    <col min="3" max="3" width="18.33203125" customWidth="1"/>
    <col min="4" max="4" width="19.6640625" customWidth="1"/>
    <col min="5" max="5" width="21.5546875" customWidth="1"/>
  </cols>
  <sheetData>
    <row r="1" spans="1:5" x14ac:dyDescent="0.3">
      <c r="A1" s="374" t="s">
        <v>262</v>
      </c>
      <c r="B1" s="375"/>
      <c r="C1" s="375"/>
      <c r="D1" s="375"/>
      <c r="E1" s="376"/>
    </row>
    <row r="2" spans="1:5" x14ac:dyDescent="0.3">
      <c r="A2" s="377"/>
      <c r="B2" s="378"/>
      <c r="C2" s="378"/>
      <c r="D2" s="378"/>
      <c r="E2" s="379"/>
    </row>
    <row r="3" spans="1:5" x14ac:dyDescent="0.3">
      <c r="A3" s="377"/>
      <c r="B3" s="378"/>
      <c r="C3" s="378"/>
      <c r="D3" s="378"/>
      <c r="E3" s="379"/>
    </row>
    <row r="4" spans="1:5" x14ac:dyDescent="0.3">
      <c r="A4" s="377"/>
      <c r="B4" s="378"/>
      <c r="C4" s="378"/>
      <c r="D4" s="378"/>
      <c r="E4" s="379"/>
    </row>
    <row r="5" spans="1:5" ht="31.5" customHeight="1" x14ac:dyDescent="0.3">
      <c r="A5" s="377"/>
      <c r="B5" s="378"/>
      <c r="C5" s="378"/>
      <c r="D5" s="378"/>
      <c r="E5" s="379"/>
    </row>
    <row r="6" spans="1:5" ht="55.8" customHeight="1" x14ac:dyDescent="0.3">
      <c r="A6" s="377"/>
      <c r="B6" s="378"/>
      <c r="C6" s="378"/>
      <c r="D6" s="378"/>
      <c r="E6" s="379"/>
    </row>
    <row r="7" spans="1:5" ht="10.8" customHeight="1" x14ac:dyDescent="0.3">
      <c r="A7" s="377"/>
      <c r="B7" s="378"/>
      <c r="C7" s="378"/>
      <c r="D7" s="378"/>
      <c r="E7" s="379"/>
    </row>
    <row r="8" spans="1:5" ht="9" customHeight="1" thickBot="1" x14ac:dyDescent="0.35">
      <c r="A8" s="380"/>
      <c r="B8" s="381"/>
      <c r="C8" s="381"/>
      <c r="D8" s="381"/>
      <c r="E8" s="382"/>
    </row>
    <row r="11" spans="1:5" ht="15.6" x14ac:dyDescent="0.3">
      <c r="A11" s="11" t="s">
        <v>263</v>
      </c>
    </row>
    <row r="13" spans="1:5" ht="15" thickBot="1" x14ac:dyDescent="0.35">
      <c r="A13" s="85" t="s">
        <v>125</v>
      </c>
    </row>
    <row r="14" spans="1:5" x14ac:dyDescent="0.3">
      <c r="A14" s="385"/>
      <c r="B14" s="375"/>
      <c r="C14" s="375"/>
      <c r="D14" s="375"/>
      <c r="E14" s="376"/>
    </row>
    <row r="15" spans="1:5" x14ac:dyDescent="0.3">
      <c r="A15" s="377"/>
      <c r="B15" s="378"/>
      <c r="C15" s="378"/>
      <c r="D15" s="378"/>
      <c r="E15" s="379"/>
    </row>
    <row r="16" spans="1:5" x14ac:dyDescent="0.3">
      <c r="A16" s="377"/>
      <c r="B16" s="378"/>
      <c r="C16" s="378"/>
      <c r="D16" s="378"/>
      <c r="E16" s="379"/>
    </row>
    <row r="17" spans="1:5" x14ac:dyDescent="0.3">
      <c r="A17" s="377"/>
      <c r="B17" s="378"/>
      <c r="C17" s="378"/>
      <c r="D17" s="378"/>
      <c r="E17" s="379"/>
    </row>
    <row r="18" spans="1:5" x14ac:dyDescent="0.3">
      <c r="A18" s="377"/>
      <c r="B18" s="378"/>
      <c r="C18" s="378"/>
      <c r="D18" s="378"/>
      <c r="E18" s="379"/>
    </row>
    <row r="19" spans="1:5" x14ac:dyDescent="0.3">
      <c r="A19" s="377"/>
      <c r="B19" s="378"/>
      <c r="C19" s="378"/>
      <c r="D19" s="378"/>
      <c r="E19" s="379"/>
    </row>
    <row r="20" spans="1:5" ht="15" thickBot="1" x14ac:dyDescent="0.35">
      <c r="A20" s="380"/>
      <c r="B20" s="381"/>
      <c r="C20" s="381"/>
      <c r="D20" s="381"/>
      <c r="E20" s="382"/>
    </row>
    <row r="21" spans="1:5" x14ac:dyDescent="0.3">
      <c r="A21" s="86"/>
      <c r="B21" s="86"/>
      <c r="C21" s="86"/>
      <c r="D21" s="86"/>
      <c r="E21" s="86"/>
    </row>
    <row r="22" spans="1:5" ht="15" thickBot="1" x14ac:dyDescent="0.35">
      <c r="A22" s="85" t="s">
        <v>126</v>
      </c>
    </row>
    <row r="23" spans="1:5" x14ac:dyDescent="0.3">
      <c r="A23" s="374"/>
      <c r="B23" s="375"/>
      <c r="C23" s="375"/>
      <c r="D23" s="375"/>
      <c r="E23" s="376"/>
    </row>
    <row r="24" spans="1:5" x14ac:dyDescent="0.3">
      <c r="A24" s="377"/>
      <c r="B24" s="378"/>
      <c r="C24" s="378"/>
      <c r="D24" s="378"/>
      <c r="E24" s="379"/>
    </row>
    <row r="25" spans="1:5" x14ac:dyDescent="0.3">
      <c r="A25" s="377"/>
      <c r="B25" s="378"/>
      <c r="C25" s="378"/>
      <c r="D25" s="378"/>
      <c r="E25" s="379"/>
    </row>
    <row r="26" spans="1:5" x14ac:dyDescent="0.3">
      <c r="A26" s="377"/>
      <c r="B26" s="378"/>
      <c r="C26" s="378"/>
      <c r="D26" s="378"/>
      <c r="E26" s="379"/>
    </row>
    <row r="27" spans="1:5" x14ac:dyDescent="0.3">
      <c r="A27" s="377"/>
      <c r="B27" s="378"/>
      <c r="C27" s="378"/>
      <c r="D27" s="378"/>
      <c r="E27" s="379"/>
    </row>
    <row r="28" spans="1:5" x14ac:dyDescent="0.3">
      <c r="A28" s="377"/>
      <c r="B28" s="378"/>
      <c r="C28" s="378"/>
      <c r="D28" s="378"/>
      <c r="E28" s="379"/>
    </row>
    <row r="29" spans="1:5" ht="15" thickBot="1" x14ac:dyDescent="0.35">
      <c r="A29" s="380"/>
      <c r="B29" s="381"/>
      <c r="C29" s="381"/>
      <c r="D29" s="381"/>
      <c r="E29" s="382"/>
    </row>
    <row r="31" spans="1:5" ht="15" thickBot="1" x14ac:dyDescent="0.35">
      <c r="A31" s="85" t="s">
        <v>127</v>
      </c>
    </row>
    <row r="32" spans="1:5" x14ac:dyDescent="0.3">
      <c r="A32" s="374"/>
      <c r="B32" s="375"/>
      <c r="C32" s="375"/>
      <c r="D32" s="375"/>
      <c r="E32" s="376"/>
    </row>
    <row r="33" spans="1:5" x14ac:dyDescent="0.3">
      <c r="A33" s="377"/>
      <c r="B33" s="378"/>
      <c r="C33" s="378"/>
      <c r="D33" s="378"/>
      <c r="E33" s="379"/>
    </row>
    <row r="34" spans="1:5" x14ac:dyDescent="0.3">
      <c r="A34" s="377"/>
      <c r="B34" s="378"/>
      <c r="C34" s="378"/>
      <c r="D34" s="378"/>
      <c r="E34" s="379"/>
    </row>
    <row r="35" spans="1:5" x14ac:dyDescent="0.3">
      <c r="A35" s="377"/>
      <c r="B35" s="378"/>
      <c r="C35" s="378"/>
      <c r="D35" s="378"/>
      <c r="E35" s="379"/>
    </row>
    <row r="36" spans="1:5" x14ac:dyDescent="0.3">
      <c r="A36" s="377"/>
      <c r="B36" s="378"/>
      <c r="C36" s="378"/>
      <c r="D36" s="378"/>
      <c r="E36" s="379"/>
    </row>
    <row r="37" spans="1:5" x14ac:dyDescent="0.3">
      <c r="A37" s="377"/>
      <c r="B37" s="378"/>
      <c r="C37" s="378"/>
      <c r="D37" s="378"/>
      <c r="E37" s="379"/>
    </row>
    <row r="38" spans="1:5" ht="15" thickBot="1" x14ac:dyDescent="0.35">
      <c r="A38" s="380"/>
      <c r="B38" s="381"/>
      <c r="C38" s="381"/>
      <c r="D38" s="381"/>
      <c r="E38" s="382"/>
    </row>
    <row r="40" spans="1:5" ht="15" thickBot="1" x14ac:dyDescent="0.35">
      <c r="A40" s="85" t="s">
        <v>425</v>
      </c>
    </row>
    <row r="41" spans="1:5" x14ac:dyDescent="0.3">
      <c r="A41" s="374"/>
      <c r="B41" s="375"/>
      <c r="C41" s="375"/>
      <c r="D41" s="375"/>
      <c r="E41" s="376"/>
    </row>
    <row r="42" spans="1:5" x14ac:dyDescent="0.3">
      <c r="A42" s="377"/>
      <c r="B42" s="378"/>
      <c r="C42" s="378"/>
      <c r="D42" s="378"/>
      <c r="E42" s="379"/>
    </row>
    <row r="43" spans="1:5" x14ac:dyDescent="0.3">
      <c r="A43" s="377"/>
      <c r="B43" s="378"/>
      <c r="C43" s="378"/>
      <c r="D43" s="378"/>
      <c r="E43" s="379"/>
    </row>
    <row r="44" spans="1:5" x14ac:dyDescent="0.3">
      <c r="A44" s="377"/>
      <c r="B44" s="378"/>
      <c r="C44" s="378"/>
      <c r="D44" s="378"/>
      <c r="E44" s="379"/>
    </row>
    <row r="45" spans="1:5" x14ac:dyDescent="0.3">
      <c r="A45" s="377"/>
      <c r="B45" s="378"/>
      <c r="C45" s="378"/>
      <c r="D45" s="378"/>
      <c r="E45" s="379"/>
    </row>
    <row r="46" spans="1:5" x14ac:dyDescent="0.3">
      <c r="A46" s="377"/>
      <c r="B46" s="378"/>
      <c r="C46" s="378"/>
      <c r="D46" s="378"/>
      <c r="E46" s="379"/>
    </row>
    <row r="47" spans="1:5" x14ac:dyDescent="0.3">
      <c r="A47" s="377"/>
      <c r="B47" s="378"/>
      <c r="C47" s="378"/>
      <c r="D47" s="378"/>
      <c r="E47" s="379"/>
    </row>
    <row r="48" spans="1:5" x14ac:dyDescent="0.3">
      <c r="A48" s="377"/>
      <c r="B48" s="378"/>
      <c r="C48" s="378"/>
      <c r="D48" s="378"/>
      <c r="E48" s="379"/>
    </row>
    <row r="49" spans="1:5" x14ac:dyDescent="0.3">
      <c r="A49" s="377"/>
      <c r="B49" s="378"/>
      <c r="C49" s="378"/>
      <c r="D49" s="378"/>
      <c r="E49" s="379"/>
    </row>
    <row r="50" spans="1:5" ht="15" thickBot="1" x14ac:dyDescent="0.35">
      <c r="A50" s="380"/>
      <c r="B50" s="381"/>
      <c r="C50" s="381"/>
      <c r="D50" s="381"/>
      <c r="E50" s="382"/>
    </row>
    <row r="52" spans="1:5" x14ac:dyDescent="0.3">
      <c r="A52" s="383" t="s">
        <v>474</v>
      </c>
      <c r="B52" s="386"/>
      <c r="C52" s="386"/>
      <c r="D52" s="386"/>
      <c r="E52" s="386"/>
    </row>
    <row r="53" spans="1:5" ht="15" thickBot="1" x14ac:dyDescent="0.35">
      <c r="A53" s="387"/>
      <c r="B53" s="387"/>
      <c r="C53" s="387"/>
      <c r="D53" s="387"/>
      <c r="E53" s="387"/>
    </row>
    <row r="54" spans="1:5" x14ac:dyDescent="0.3">
      <c r="A54" s="374"/>
      <c r="B54" s="375"/>
      <c r="C54" s="375"/>
      <c r="D54" s="375"/>
      <c r="E54" s="376"/>
    </row>
    <row r="55" spans="1:5" x14ac:dyDescent="0.3">
      <c r="A55" s="377"/>
      <c r="B55" s="378"/>
      <c r="C55" s="378"/>
      <c r="D55" s="378"/>
      <c r="E55" s="379"/>
    </row>
    <row r="56" spans="1:5" x14ac:dyDescent="0.3">
      <c r="A56" s="377"/>
      <c r="B56" s="378"/>
      <c r="C56" s="378"/>
      <c r="D56" s="378"/>
      <c r="E56" s="379"/>
    </row>
    <row r="57" spans="1:5" x14ac:dyDescent="0.3">
      <c r="A57" s="377"/>
      <c r="B57" s="378"/>
      <c r="C57" s="378"/>
      <c r="D57" s="378"/>
      <c r="E57" s="379"/>
    </row>
    <row r="58" spans="1:5" x14ac:dyDescent="0.3">
      <c r="A58" s="377"/>
      <c r="B58" s="378"/>
      <c r="C58" s="378"/>
      <c r="D58" s="378"/>
      <c r="E58" s="379"/>
    </row>
    <row r="59" spans="1:5" x14ac:dyDescent="0.3">
      <c r="A59" s="377"/>
      <c r="B59" s="378"/>
      <c r="C59" s="378"/>
      <c r="D59" s="378"/>
      <c r="E59" s="379"/>
    </row>
    <row r="60" spans="1:5" x14ac:dyDescent="0.3">
      <c r="A60" s="377"/>
      <c r="B60" s="378"/>
      <c r="C60" s="378"/>
      <c r="D60" s="378"/>
      <c r="E60" s="379"/>
    </row>
    <row r="61" spans="1:5" x14ac:dyDescent="0.3">
      <c r="A61" s="377"/>
      <c r="B61" s="378"/>
      <c r="C61" s="378"/>
      <c r="D61" s="378"/>
      <c r="E61" s="379"/>
    </row>
    <row r="62" spans="1:5" x14ac:dyDescent="0.3">
      <c r="A62" s="377"/>
      <c r="B62" s="378"/>
      <c r="C62" s="378"/>
      <c r="D62" s="378"/>
      <c r="E62" s="379"/>
    </row>
    <row r="63" spans="1:5" ht="15" thickBot="1" x14ac:dyDescent="0.35">
      <c r="A63" s="380"/>
      <c r="B63" s="381"/>
      <c r="C63" s="381"/>
      <c r="D63" s="381"/>
      <c r="E63" s="382"/>
    </row>
    <row r="65" spans="1:5" ht="15" thickBot="1" x14ac:dyDescent="0.35">
      <c r="A65" s="85" t="s">
        <v>300</v>
      </c>
    </row>
    <row r="66" spans="1:5" x14ac:dyDescent="0.3">
      <c r="A66" s="374"/>
      <c r="B66" s="375"/>
      <c r="C66" s="375"/>
      <c r="D66" s="375"/>
      <c r="E66" s="376"/>
    </row>
    <row r="67" spans="1:5" x14ac:dyDescent="0.3">
      <c r="A67" s="377"/>
      <c r="B67" s="378"/>
      <c r="C67" s="378"/>
      <c r="D67" s="378"/>
      <c r="E67" s="379"/>
    </row>
    <row r="68" spans="1:5" x14ac:dyDescent="0.3">
      <c r="A68" s="377"/>
      <c r="B68" s="378"/>
      <c r="C68" s="378"/>
      <c r="D68" s="378"/>
      <c r="E68" s="379"/>
    </row>
    <row r="69" spans="1:5" x14ac:dyDescent="0.3">
      <c r="A69" s="377"/>
      <c r="B69" s="378"/>
      <c r="C69" s="378"/>
      <c r="D69" s="378"/>
      <c r="E69" s="379"/>
    </row>
    <row r="70" spans="1:5" x14ac:dyDescent="0.3">
      <c r="A70" s="377"/>
      <c r="B70" s="378"/>
      <c r="C70" s="378"/>
      <c r="D70" s="378"/>
      <c r="E70" s="379"/>
    </row>
    <row r="71" spans="1:5" x14ac:dyDescent="0.3">
      <c r="A71" s="377"/>
      <c r="B71" s="378"/>
      <c r="C71" s="378"/>
      <c r="D71" s="378"/>
      <c r="E71" s="379"/>
    </row>
    <row r="72" spans="1:5" x14ac:dyDescent="0.3">
      <c r="A72" s="377"/>
      <c r="B72" s="378"/>
      <c r="C72" s="378"/>
      <c r="D72" s="378"/>
      <c r="E72" s="379"/>
    </row>
    <row r="73" spans="1:5" x14ac:dyDescent="0.3">
      <c r="A73" s="377"/>
      <c r="B73" s="378"/>
      <c r="C73" s="378"/>
      <c r="D73" s="378"/>
      <c r="E73" s="379"/>
    </row>
    <row r="74" spans="1:5" x14ac:dyDescent="0.3">
      <c r="A74" s="377"/>
      <c r="B74" s="378"/>
      <c r="C74" s="378"/>
      <c r="D74" s="378"/>
      <c r="E74" s="379"/>
    </row>
    <row r="75" spans="1:5" ht="15" thickBot="1" x14ac:dyDescent="0.35">
      <c r="A75" s="380"/>
      <c r="B75" s="381"/>
      <c r="C75" s="381"/>
      <c r="D75" s="381"/>
      <c r="E75" s="382"/>
    </row>
  </sheetData>
  <mergeCells count="8">
    <mergeCell ref="A66:E75"/>
    <mergeCell ref="A54:E63"/>
    <mergeCell ref="A52:E53"/>
    <mergeCell ref="A1:E8"/>
    <mergeCell ref="A14:E20"/>
    <mergeCell ref="A23:E29"/>
    <mergeCell ref="A32:E38"/>
    <mergeCell ref="A41:E50"/>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23BEE-F4C0-4D11-8F35-A1305A6FAC3B}">
  <sheetPr>
    <pageSetUpPr fitToPage="1"/>
  </sheetPr>
  <dimension ref="A1:N68"/>
  <sheetViews>
    <sheetView tabSelected="1" zoomScale="70" zoomScaleNormal="70" zoomScaleSheetLayoutView="80" workbookViewId="0">
      <selection activeCell="A8" sqref="A8"/>
    </sheetView>
  </sheetViews>
  <sheetFormatPr defaultRowHeight="14.4" x14ac:dyDescent="0.3"/>
  <cols>
    <col min="1" max="1" width="48.44140625" customWidth="1"/>
    <col min="2" max="2" width="20.6640625" customWidth="1"/>
    <col min="3" max="3" width="24.44140625" customWidth="1"/>
    <col min="4" max="4" width="16.5546875" customWidth="1"/>
    <col min="5" max="5" width="15.5546875" customWidth="1"/>
    <col min="6" max="6" width="19" bestFit="1" customWidth="1"/>
    <col min="7" max="7" width="28.5546875" customWidth="1"/>
    <col min="8" max="8" width="14" customWidth="1"/>
    <col min="9" max="9" width="16.33203125" bestFit="1" customWidth="1"/>
    <col min="10" max="10" width="25.33203125" bestFit="1" customWidth="1"/>
    <col min="17" max="17" width="16.33203125" customWidth="1"/>
    <col min="19" max="19" width="11.6640625" customWidth="1"/>
  </cols>
  <sheetData>
    <row r="1" spans="1:13" x14ac:dyDescent="0.3">
      <c r="A1" s="388" t="s">
        <v>247</v>
      </c>
      <c r="B1" s="389"/>
      <c r="C1" s="389"/>
      <c r="D1" s="389"/>
      <c r="E1" s="390"/>
    </row>
    <row r="2" spans="1:13" x14ac:dyDescent="0.3">
      <c r="A2" s="391"/>
      <c r="B2" s="392"/>
      <c r="C2" s="392"/>
      <c r="D2" s="392"/>
      <c r="E2" s="393"/>
    </row>
    <row r="3" spans="1:13" x14ac:dyDescent="0.3">
      <c r="A3" s="391"/>
      <c r="B3" s="392"/>
      <c r="C3" s="392"/>
      <c r="D3" s="392"/>
      <c r="E3" s="393"/>
    </row>
    <row r="4" spans="1:13" ht="30" customHeight="1" x14ac:dyDescent="0.3">
      <c r="A4" s="391"/>
      <c r="B4" s="392"/>
      <c r="C4" s="392"/>
      <c r="D4" s="392"/>
      <c r="E4" s="393"/>
    </row>
    <row r="5" spans="1:13" ht="30" customHeight="1" x14ac:dyDescent="0.3">
      <c r="A5" s="391"/>
      <c r="B5" s="392"/>
      <c r="C5" s="392"/>
      <c r="D5" s="392"/>
      <c r="E5" s="393"/>
    </row>
    <row r="6" spans="1:13" x14ac:dyDescent="0.3">
      <c r="A6" s="391"/>
      <c r="B6" s="392"/>
      <c r="C6" s="392"/>
      <c r="D6" s="392"/>
      <c r="E6" s="393"/>
    </row>
    <row r="7" spans="1:13" ht="6.75" customHeight="1" thickBot="1" x14ac:dyDescent="0.35">
      <c r="A7" s="394"/>
      <c r="B7" s="395"/>
      <c r="C7" s="395"/>
      <c r="D7" s="395"/>
      <c r="E7" s="396"/>
    </row>
    <row r="9" spans="1:13" ht="15.6" x14ac:dyDescent="0.3">
      <c r="A9" s="146" t="s">
        <v>263</v>
      </c>
      <c r="D9" s="10"/>
    </row>
    <row r="11" spans="1:13" ht="15.6" x14ac:dyDescent="0.3">
      <c r="A11" s="11" t="s">
        <v>128</v>
      </c>
    </row>
    <row r="12" spans="1:13" ht="43.2" x14ac:dyDescent="0.3">
      <c r="A12" s="5" t="s">
        <v>129</v>
      </c>
      <c r="B12" s="6" t="s">
        <v>130</v>
      </c>
      <c r="C12" s="6" t="s">
        <v>131</v>
      </c>
      <c r="D12" s="6" t="s">
        <v>132</v>
      </c>
      <c r="E12" s="12" t="s">
        <v>61</v>
      </c>
      <c r="F12" s="12" t="s">
        <v>63</v>
      </c>
      <c r="G12" s="12" t="s">
        <v>3</v>
      </c>
    </row>
    <row r="13" spans="1:13" x14ac:dyDescent="0.3">
      <c r="A13" t="s">
        <v>133</v>
      </c>
      <c r="B13" s="109"/>
      <c r="C13" s="10">
        <f>'Underlag - El o Uppv'!C6</f>
        <v>1</v>
      </c>
      <c r="D13">
        <f>B13*C13</f>
        <v>0</v>
      </c>
      <c r="E13" s="40">
        <f>'Underlag - El o Uppv'!E6</f>
        <v>0</v>
      </c>
      <c r="F13">
        <f>B13*E13</f>
        <v>0</v>
      </c>
      <c r="I13" t="s">
        <v>134</v>
      </c>
      <c r="J13" t="s">
        <v>19</v>
      </c>
      <c r="K13" t="s">
        <v>135</v>
      </c>
    </row>
    <row r="14" spans="1:13" x14ac:dyDescent="0.3">
      <c r="A14" t="s">
        <v>136</v>
      </c>
      <c r="B14" s="109"/>
      <c r="C14" s="10">
        <f>'Underlag - El o Uppv'!C7</f>
        <v>1</v>
      </c>
      <c r="D14">
        <f>B14*C14</f>
        <v>0</v>
      </c>
      <c r="E14" s="40">
        <f>'Underlag - El o Uppv'!E7</f>
        <v>0</v>
      </c>
      <c r="F14">
        <f t="shared" ref="F14:F18" si="0">B14*E14</f>
        <v>0</v>
      </c>
      <c r="H14" t="e">
        <f ca="1">CONCATENATE("El ", ROUND( K14, 1), "% ", "
fossilbränslefritt")</f>
        <v>#DIV/0!</v>
      </c>
      <c r="I14" s="2">
        <f ca="1">B20-D20</f>
        <v>0</v>
      </c>
      <c r="J14" s="2">
        <f ca="1">D20</f>
        <v>0</v>
      </c>
      <c r="K14" s="87" t="e">
        <f ca="1">J14/(I14+J14)*100</f>
        <v>#DIV/0!</v>
      </c>
      <c r="L14" s="88"/>
      <c r="M14" s="88"/>
    </row>
    <row r="15" spans="1:13" x14ac:dyDescent="0.3">
      <c r="A15" t="s">
        <v>137</v>
      </c>
      <c r="B15" s="109"/>
      <c r="C15" s="10">
        <f>'Underlag - El o Uppv'!C8</f>
        <v>1</v>
      </c>
      <c r="D15">
        <f>B15*C15</f>
        <v>0</v>
      </c>
      <c r="E15" s="40">
        <f>'Underlag - El o Uppv'!E8</f>
        <v>0</v>
      </c>
      <c r="F15">
        <f t="shared" si="0"/>
        <v>0</v>
      </c>
      <c r="H15" t="e">
        <f ca="1">CONCATENATE("Uppvärmning ", ROUND( K15, 1), "% ", "fossilbränslefritt")</f>
        <v>#DIV/0!</v>
      </c>
      <c r="I15" s="2">
        <f ca="1">B35-D35</f>
        <v>0</v>
      </c>
      <c r="J15" s="2">
        <f ca="1">D35</f>
        <v>0</v>
      </c>
      <c r="K15" s="87" t="e">
        <f t="shared" ref="K15" ca="1" si="1">J15/(I15+J15)*100</f>
        <v>#DIV/0!</v>
      </c>
      <c r="L15" s="10"/>
    </row>
    <row r="16" spans="1:13" x14ac:dyDescent="0.3">
      <c r="A16" t="s">
        <v>138</v>
      </c>
      <c r="B16" s="109"/>
      <c r="C16" s="89">
        <f>'Underlag - El o Uppv'!C9</f>
        <v>0.4531</v>
      </c>
      <c r="D16">
        <f t="shared" ref="D16:D18" si="2">B16*C16</f>
        <v>0</v>
      </c>
      <c r="E16" s="40">
        <f>'Underlag - El o Uppv'!E9</f>
        <v>0.36526999999999998</v>
      </c>
      <c r="F16">
        <f t="shared" si="0"/>
        <v>0</v>
      </c>
      <c r="H16" t="e">
        <f>CONCATENATE("Köpta drivmedel, egna fordon ", ROUND( K17, 1), "% ", "fossilbränslefritt")</f>
        <v>#DIV/0!</v>
      </c>
      <c r="I16" s="2">
        <f>'Transporter Steg 1, 2 och 3'!D32-'Transporter Steg 1, 2 och 3'!F32</f>
        <v>0</v>
      </c>
      <c r="J16" s="2">
        <f>'Transporter Steg 1, 2 och 3'!F32</f>
        <v>0</v>
      </c>
      <c r="K16" s="87"/>
      <c r="L16" s="10"/>
    </row>
    <row r="17" spans="1:14" x14ac:dyDescent="0.3">
      <c r="A17" t="s">
        <v>175</v>
      </c>
      <c r="B17" s="109"/>
      <c r="C17" s="89">
        <f>'Underlag - El o Uppv'!C10</f>
        <v>0</v>
      </c>
      <c r="E17" s="40">
        <f>'Underlag - El o Uppv'!E10</f>
        <v>1.0369600000000001</v>
      </c>
      <c r="F17">
        <f t="shared" si="0"/>
        <v>0</v>
      </c>
      <c r="H17" t="s">
        <v>140</v>
      </c>
      <c r="I17" s="2">
        <f ca="1">SUM(I14:I16)</f>
        <v>0</v>
      </c>
      <c r="J17" s="2">
        <f ca="1">SUM(J14:J16)</f>
        <v>0</v>
      </c>
      <c r="K17" s="87" t="e">
        <f>J16/(I16+J16)*100</f>
        <v>#DIV/0!</v>
      </c>
      <c r="M17" s="10"/>
    </row>
    <row r="18" spans="1:14" x14ac:dyDescent="0.3">
      <c r="A18" t="s">
        <v>139</v>
      </c>
      <c r="B18" s="109"/>
      <c r="C18" s="110"/>
      <c r="D18">
        <f t="shared" si="2"/>
        <v>0</v>
      </c>
      <c r="E18" s="110"/>
      <c r="F18">
        <f t="shared" si="0"/>
        <v>0</v>
      </c>
    </row>
    <row r="19" spans="1:14" x14ac:dyDescent="0.3">
      <c r="D19" s="2"/>
    </row>
    <row r="20" spans="1:14" ht="23.25" customHeight="1" thickBot="1" x14ac:dyDescent="0.35">
      <c r="A20" s="90" t="s">
        <v>141</v>
      </c>
      <c r="B20" s="91">
        <f>SUM(B13:B18)</f>
        <v>0</v>
      </c>
      <c r="C20" s="92"/>
      <c r="D20" s="91">
        <f ca="1">IF(B18&gt;0,(IF(C18=FALSE,CONCATENATE("Ange värde i ",CELL("adress",C18)),SUM(D13:D19))),SUM(D13:D19))</f>
        <v>0</v>
      </c>
      <c r="E20" s="82"/>
      <c r="F20" s="96">
        <f>SUM(F13:F19)</f>
        <v>0</v>
      </c>
      <c r="I20" t="s">
        <v>204</v>
      </c>
      <c r="J20" s="124" t="e">
        <f ca="1">D22</f>
        <v>#DIV/0!</v>
      </c>
    </row>
    <row r="21" spans="1:14" ht="15.6" thickTop="1" thickBot="1" x14ac:dyDescent="0.35">
      <c r="A21" s="93"/>
      <c r="I21" t="s">
        <v>205</v>
      </c>
      <c r="J21" s="124" t="e">
        <f ca="1">1-J20</f>
        <v>#DIV/0!</v>
      </c>
    </row>
    <row r="22" spans="1:14" ht="15" thickBot="1" x14ac:dyDescent="0.35">
      <c r="B22" s="17" t="s">
        <v>142</v>
      </c>
      <c r="C22" s="18"/>
      <c r="D22" s="19" t="e">
        <f ca="1">IF(B18&gt;0,(IF(C18=FALSE,CONCATENATE("Ange värde i ",CELL("adress",C18)),D20/B20)),D20/B20)</f>
        <v>#DIV/0!</v>
      </c>
    </row>
    <row r="23" spans="1:14" x14ac:dyDescent="0.3">
      <c r="D23" s="10"/>
    </row>
    <row r="24" spans="1:14" ht="15.6" x14ac:dyDescent="0.3">
      <c r="A24" s="11" t="s">
        <v>201</v>
      </c>
      <c r="D24" s="10"/>
    </row>
    <row r="25" spans="1:14" ht="43.2" x14ac:dyDescent="0.3">
      <c r="A25" s="5" t="s">
        <v>143</v>
      </c>
      <c r="B25" s="6" t="s">
        <v>130</v>
      </c>
      <c r="C25" s="6" t="s">
        <v>131</v>
      </c>
      <c r="D25" s="6" t="s">
        <v>144</v>
      </c>
      <c r="E25" s="12" t="s">
        <v>61</v>
      </c>
      <c r="F25" s="12" t="s">
        <v>63</v>
      </c>
      <c r="G25" s="12" t="s">
        <v>3</v>
      </c>
    </row>
    <row r="26" spans="1:14" x14ac:dyDescent="0.3">
      <c r="A26" t="s">
        <v>145</v>
      </c>
      <c r="B26" s="111"/>
      <c r="C26" s="104">
        <f>'Underlag - El o Uppv'!C12</f>
        <v>0</v>
      </c>
      <c r="D26" s="105">
        <f>B26*C26</f>
        <v>0</v>
      </c>
      <c r="E26" s="106">
        <f>'Underlag - El o Uppv'!E12</f>
        <v>0.2743488</v>
      </c>
      <c r="F26" s="83">
        <f>B26*E26</f>
        <v>0</v>
      </c>
      <c r="N26" s="2"/>
    </row>
    <row r="27" spans="1:14" x14ac:dyDescent="0.3">
      <c r="A27" t="s">
        <v>146</v>
      </c>
      <c r="B27" s="111"/>
      <c r="C27" s="112">
        <v>0.99919999999999998</v>
      </c>
      <c r="D27" s="105">
        <f>B27*C27</f>
        <v>0</v>
      </c>
      <c r="E27" s="113">
        <v>0</v>
      </c>
      <c r="F27" s="83">
        <f t="shared" ref="F27:F33" si="3">B27*E27</f>
        <v>0</v>
      </c>
      <c r="N27" s="2"/>
    </row>
    <row r="28" spans="1:14" x14ac:dyDescent="0.3">
      <c r="A28" t="s">
        <v>147</v>
      </c>
      <c r="B28" s="111"/>
      <c r="C28" s="104">
        <f>'Underlag - El o Uppv'!C13</f>
        <v>0</v>
      </c>
      <c r="D28" s="105">
        <f t="shared" ref="D28:D33" si="4">B28*C28</f>
        <v>0</v>
      </c>
      <c r="E28" s="108">
        <f>'Underlag - El o Uppv'!E13</f>
        <v>0.20480796000000001</v>
      </c>
      <c r="F28" s="83">
        <f>B28*E28</f>
        <v>0</v>
      </c>
      <c r="G28" s="94"/>
      <c r="H28" t="s">
        <v>206</v>
      </c>
      <c r="I28" s="124" t="e">
        <f ca="1">D37</f>
        <v>#DIV/0!</v>
      </c>
      <c r="L28" s="16"/>
      <c r="N28" s="2"/>
    </row>
    <row r="29" spans="1:14" x14ac:dyDescent="0.3">
      <c r="A29" t="s">
        <v>148</v>
      </c>
      <c r="B29" s="111"/>
      <c r="C29" s="104">
        <f>'Underlag - El o Uppv'!C14</f>
        <v>1</v>
      </c>
      <c r="D29" s="105">
        <f t="shared" si="4"/>
        <v>0</v>
      </c>
      <c r="E29" s="107">
        <f>'Underlag - El o Uppv'!E14</f>
        <v>0</v>
      </c>
      <c r="F29" s="83">
        <f t="shared" si="3"/>
        <v>0</v>
      </c>
      <c r="G29" s="95"/>
      <c r="H29" t="s">
        <v>207</v>
      </c>
      <c r="I29" s="124" t="e">
        <f ca="1">1-I28</f>
        <v>#DIV/0!</v>
      </c>
      <c r="L29" s="16"/>
      <c r="N29" s="2"/>
    </row>
    <row r="30" spans="1:14" x14ac:dyDescent="0.3">
      <c r="A30" t="s">
        <v>149</v>
      </c>
      <c r="B30" s="111"/>
      <c r="C30" s="104">
        <f>'Underlag - El o Uppv'!C15</f>
        <v>1</v>
      </c>
      <c r="D30" s="105">
        <f t="shared" si="4"/>
        <v>0</v>
      </c>
      <c r="E30" s="106">
        <f>'Underlag - El o Uppv'!E15</f>
        <v>0</v>
      </c>
      <c r="F30" s="83">
        <f t="shared" si="3"/>
        <v>0</v>
      </c>
      <c r="L30" s="16"/>
      <c r="N30" s="2"/>
    </row>
    <row r="31" spans="1:14" x14ac:dyDescent="0.3">
      <c r="A31" t="s">
        <v>150</v>
      </c>
      <c r="B31" s="111"/>
      <c r="C31" s="104">
        <f>'Underlag - El o Uppv'!C16</f>
        <v>1</v>
      </c>
      <c r="D31" s="105">
        <f t="shared" si="4"/>
        <v>0</v>
      </c>
      <c r="E31" s="106">
        <f>'Underlag - El o Uppv'!E16</f>
        <v>0</v>
      </c>
      <c r="F31" s="83">
        <f t="shared" si="3"/>
        <v>0</v>
      </c>
      <c r="N31" s="2"/>
    </row>
    <row r="32" spans="1:14" x14ac:dyDescent="0.3">
      <c r="A32" t="s">
        <v>151</v>
      </c>
      <c r="B32" s="111"/>
      <c r="C32" s="104">
        <f>'Underlag - El o Uppv'!C17</f>
        <v>1</v>
      </c>
      <c r="D32" s="105">
        <f t="shared" si="4"/>
        <v>0</v>
      </c>
      <c r="E32" s="106">
        <f>'Underlag - El o Uppv'!E17</f>
        <v>0</v>
      </c>
      <c r="F32" s="83">
        <f t="shared" si="3"/>
        <v>0</v>
      </c>
      <c r="N32" s="2"/>
    </row>
    <row r="33" spans="1:14" x14ac:dyDescent="0.3">
      <c r="A33" t="s">
        <v>25</v>
      </c>
      <c r="B33" s="111"/>
      <c r="C33" s="115"/>
      <c r="D33" s="105">
        <f t="shared" si="4"/>
        <v>0</v>
      </c>
      <c r="E33" s="114"/>
      <c r="F33" s="83">
        <f t="shared" si="3"/>
        <v>0</v>
      </c>
      <c r="N33" s="2"/>
    </row>
    <row r="34" spans="1:14" x14ac:dyDescent="0.3">
      <c r="F34" s="83"/>
    </row>
    <row r="35" spans="1:14" ht="22.5" customHeight="1" thickBot="1" x14ac:dyDescent="0.35">
      <c r="A35" s="90" t="s">
        <v>26</v>
      </c>
      <c r="B35" s="91">
        <f>SUM(B26:B34)</f>
        <v>0</v>
      </c>
      <c r="C35" s="96"/>
      <c r="D35" s="91">
        <f ca="1">IF(B33&gt;0,(IF(C33=FALSE,CONCATENATE("Ange värde i ",CELL("adress",C33)),SUM(D26:D33))),SUM(D26:D33))</f>
        <v>0</v>
      </c>
      <c r="E35" s="82"/>
      <c r="F35" s="84">
        <f>SUM(F26:F34)</f>
        <v>0</v>
      </c>
    </row>
    <row r="36" spans="1:14" ht="15.6" thickTop="1" thickBot="1" x14ac:dyDescent="0.35"/>
    <row r="37" spans="1:14" ht="15" thickBot="1" x14ac:dyDescent="0.35">
      <c r="B37" s="17" t="s">
        <v>152</v>
      </c>
      <c r="C37" s="18"/>
      <c r="D37" s="19" t="e">
        <f ca="1">IF(B27&gt;0,(IF(C27=FALSE,CONCATENATE("Ange värde för fossilfritt i fjärrvärme i  ",CELL("adress",C27)),D35/B35)),D35/B35)</f>
        <v>#DIV/0!</v>
      </c>
    </row>
    <row r="40" spans="1:14" x14ac:dyDescent="0.3">
      <c r="A40" s="131" t="s">
        <v>221</v>
      </c>
    </row>
    <row r="52" spans="1:3" x14ac:dyDescent="0.3">
      <c r="A52" s="20"/>
      <c r="B52" s="20"/>
      <c r="C52" s="20"/>
    </row>
    <row r="53" spans="1:3" x14ac:dyDescent="0.3">
      <c r="A53" s="20" t="s">
        <v>153</v>
      </c>
      <c r="B53" s="20"/>
      <c r="C53" s="20"/>
    </row>
    <row r="54" spans="1:3" x14ac:dyDescent="0.3">
      <c r="A54" s="20" t="s">
        <v>154</v>
      </c>
      <c r="B54" s="20" t="s">
        <v>155</v>
      </c>
      <c r="C54" s="20"/>
    </row>
    <row r="55" spans="1:3" x14ac:dyDescent="0.3">
      <c r="A55" s="20" t="s">
        <v>156</v>
      </c>
      <c r="B55" s="97">
        <v>51296</v>
      </c>
      <c r="C55" s="20" t="s">
        <v>157</v>
      </c>
    </row>
    <row r="56" spans="1:3" x14ac:dyDescent="0.3">
      <c r="A56" s="20" t="s">
        <v>158</v>
      </c>
      <c r="B56" s="20">
        <v>3496104</v>
      </c>
      <c r="C56" s="20" t="s">
        <v>157</v>
      </c>
    </row>
    <row r="57" spans="1:3" x14ac:dyDescent="0.3">
      <c r="A57" s="20" t="s">
        <v>159</v>
      </c>
      <c r="B57" s="20">
        <v>1257701</v>
      </c>
      <c r="C57" s="20" t="s">
        <v>157</v>
      </c>
    </row>
    <row r="58" spans="1:3" x14ac:dyDescent="0.3">
      <c r="A58" s="20" t="s">
        <v>160</v>
      </c>
      <c r="B58" s="97">
        <v>789000</v>
      </c>
      <c r="C58" s="20" t="s">
        <v>157</v>
      </c>
    </row>
    <row r="59" spans="1:3" x14ac:dyDescent="0.3">
      <c r="A59" s="20" t="s">
        <v>161</v>
      </c>
      <c r="B59" s="97">
        <v>111440</v>
      </c>
      <c r="C59" s="20" t="s">
        <v>157</v>
      </c>
    </row>
    <row r="60" spans="1:3" x14ac:dyDescent="0.3">
      <c r="A60" s="20"/>
      <c r="B60" s="20"/>
      <c r="C60" s="20"/>
    </row>
    <row r="61" spans="1:3" x14ac:dyDescent="0.3">
      <c r="A61" s="20" t="s">
        <v>162</v>
      </c>
      <c r="B61" s="20"/>
      <c r="C61" s="20"/>
    </row>
    <row r="62" spans="1:3" x14ac:dyDescent="0.3">
      <c r="A62" s="20" t="s">
        <v>163</v>
      </c>
      <c r="B62" s="20">
        <f>548826</f>
        <v>548826</v>
      </c>
      <c r="C62" s="20" t="s">
        <v>157</v>
      </c>
    </row>
    <row r="63" spans="1:3" x14ac:dyDescent="0.3">
      <c r="A63" s="20" t="s">
        <v>164</v>
      </c>
      <c r="B63" s="20">
        <f>69093+3583880</f>
        <v>3652973</v>
      </c>
      <c r="C63" s="20" t="s">
        <v>157</v>
      </c>
    </row>
    <row r="64" spans="1:3" x14ac:dyDescent="0.3">
      <c r="A64" s="20" t="s">
        <v>165</v>
      </c>
      <c r="B64" s="20">
        <v>2445092</v>
      </c>
      <c r="C64" s="20" t="s">
        <v>157</v>
      </c>
    </row>
    <row r="65" spans="1:3" x14ac:dyDescent="0.3">
      <c r="A65" s="20" t="s">
        <v>166</v>
      </c>
      <c r="B65" s="20" t="s">
        <v>167</v>
      </c>
      <c r="C65" s="20" t="s">
        <v>157</v>
      </c>
    </row>
    <row r="66" spans="1:3" x14ac:dyDescent="0.3">
      <c r="A66" s="20"/>
      <c r="B66" s="20"/>
      <c r="C66" s="20"/>
    </row>
    <row r="67" spans="1:3" x14ac:dyDescent="0.3">
      <c r="A67" s="20"/>
      <c r="B67" s="20"/>
      <c r="C67" s="20"/>
    </row>
    <row r="68" spans="1:3" x14ac:dyDescent="0.3">
      <c r="A68" s="20"/>
      <c r="B68" s="20"/>
      <c r="C68" s="20"/>
    </row>
  </sheetData>
  <mergeCells count="1">
    <mergeCell ref="A1:E7"/>
  </mergeCells>
  <pageMargins left="0.7" right="0.7" top="0.75" bottom="0.75" header="0.3" footer="0.3"/>
  <pageSetup paperSize="9" scale="30" orientation="landscape" r:id="rId1"/>
  <rowBreaks count="1" manualBreakCount="1">
    <brk id="37" max="16383" man="1"/>
  </rowBreaks>
  <colBreaks count="2" manualBreakCount="2">
    <brk id="5" max="1048575" man="1"/>
    <brk id="6"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4D1B-A41F-4C8C-A102-2F9C96B25D44}">
  <sheetPr>
    <pageSetUpPr fitToPage="1"/>
  </sheetPr>
  <dimension ref="A1:T79"/>
  <sheetViews>
    <sheetView topLeftCell="A46" zoomScale="85" zoomScaleNormal="85" zoomScaleSheetLayoutView="80" workbookViewId="0">
      <selection activeCell="C17" sqref="C17"/>
    </sheetView>
  </sheetViews>
  <sheetFormatPr defaultColWidth="8.6640625" defaultRowHeight="14.4" x14ac:dyDescent="0.3"/>
  <cols>
    <col min="1" max="1" width="39.44140625" style="13" customWidth="1"/>
    <col min="2" max="2" width="16.33203125" style="13" customWidth="1"/>
    <col min="3" max="3" width="19.6640625" style="13" customWidth="1"/>
    <col min="4" max="4" width="14" style="13" customWidth="1"/>
    <col min="5" max="5" width="19.5546875" style="13" customWidth="1"/>
    <col min="6" max="6" width="17.33203125" style="13" customWidth="1"/>
    <col min="7" max="7" width="16.44140625" style="13" customWidth="1"/>
    <col min="8" max="8" width="14.33203125" style="13" customWidth="1"/>
    <col min="9" max="9" width="22.109375" style="13" customWidth="1"/>
    <col min="10" max="10" width="13.33203125" style="13" customWidth="1"/>
    <col min="11" max="11" width="11.6640625" style="13" customWidth="1"/>
    <col min="12" max="12" width="9.6640625" style="13" bestFit="1" customWidth="1"/>
    <col min="13" max="13" width="8.6640625" style="13"/>
    <col min="14" max="14" width="12.6640625" style="13" bestFit="1" customWidth="1"/>
    <col min="15" max="15" width="8.6640625" style="13"/>
    <col min="16" max="16" width="11.6640625" style="13" customWidth="1"/>
    <col min="17" max="19" width="8.6640625" style="13"/>
    <col min="20" max="20" width="30.6640625" style="13" customWidth="1"/>
    <col min="21" max="21" width="11" style="13" customWidth="1"/>
    <col min="22" max="23" width="11.6640625" style="13" customWidth="1"/>
    <col min="24" max="24" width="12.5546875" style="13" customWidth="1"/>
    <col min="25" max="16384" width="8.6640625" style="13"/>
  </cols>
  <sheetData>
    <row r="1" spans="1:18" ht="21" customHeight="1" x14ac:dyDescent="0.3">
      <c r="A1" s="385" t="s">
        <v>441</v>
      </c>
      <c r="B1" s="397"/>
      <c r="C1" s="397"/>
      <c r="D1" s="397"/>
      <c r="E1" s="397"/>
      <c r="F1" s="398"/>
    </row>
    <row r="2" spans="1:18" x14ac:dyDescent="0.3">
      <c r="A2" s="399"/>
      <c r="B2" s="400"/>
      <c r="C2" s="400"/>
      <c r="D2" s="400"/>
      <c r="E2" s="400"/>
      <c r="F2" s="401"/>
    </row>
    <row r="3" spans="1:18" ht="28.5" customHeight="1" x14ac:dyDescent="0.3">
      <c r="A3" s="399"/>
      <c r="B3" s="400"/>
      <c r="C3" s="400"/>
      <c r="D3" s="400"/>
      <c r="E3" s="400"/>
      <c r="F3" s="401"/>
      <c r="H3" s="147"/>
      <c r="I3" s="147"/>
    </row>
    <row r="4" spans="1:18" ht="25.5" customHeight="1" x14ac:dyDescent="0.3">
      <c r="A4" s="399"/>
      <c r="B4" s="400"/>
      <c r="C4" s="400"/>
      <c r="D4" s="400"/>
      <c r="E4" s="400"/>
      <c r="F4" s="401"/>
    </row>
    <row r="5" spans="1:18" ht="27.75" customHeight="1" thickBot="1" x14ac:dyDescent="0.35">
      <c r="A5" s="402"/>
      <c r="B5" s="403"/>
      <c r="C5" s="403"/>
      <c r="D5" s="403"/>
      <c r="E5" s="403"/>
      <c r="F5" s="404"/>
    </row>
    <row r="6" spans="1:18" x14ac:dyDescent="0.3">
      <c r="D6" s="148"/>
    </row>
    <row r="7" spans="1:18" ht="15.6" x14ac:dyDescent="0.3">
      <c r="A7" s="146" t="s">
        <v>263</v>
      </c>
      <c r="B7" s="148"/>
      <c r="C7" s="148"/>
      <c r="D7" s="148"/>
      <c r="F7" s="148"/>
    </row>
    <row r="8" spans="1:18" x14ac:dyDescent="0.3">
      <c r="D8" s="148"/>
    </row>
    <row r="9" spans="1:18" ht="15.6" x14ac:dyDescent="0.3">
      <c r="A9" s="146" t="s">
        <v>5</v>
      </c>
    </row>
    <row r="10" spans="1:18" ht="32.25" customHeight="1" x14ac:dyDescent="0.3">
      <c r="A10" s="149" t="s">
        <v>6</v>
      </c>
      <c r="B10" s="150" t="s">
        <v>7</v>
      </c>
      <c r="C10" s="150" t="s">
        <v>8</v>
      </c>
      <c r="D10" s="150" t="s">
        <v>9</v>
      </c>
      <c r="E10" s="150" t="s">
        <v>10</v>
      </c>
      <c r="F10" s="150" t="s">
        <v>11</v>
      </c>
      <c r="G10" s="150" t="s">
        <v>61</v>
      </c>
      <c r="H10" s="150" t="s">
        <v>63</v>
      </c>
      <c r="I10" s="150" t="s">
        <v>3</v>
      </c>
    </row>
    <row r="11" spans="1:18" x14ac:dyDescent="0.3">
      <c r="A11" s="121" t="s">
        <v>432</v>
      </c>
      <c r="B11" s="109"/>
      <c r="C11" s="151">
        <f>'Underlag -Transporter-Drivmede '!C7</f>
        <v>8.7916666666666661</v>
      </c>
      <c r="D11" s="152">
        <f t="shared" ref="D11:D30" si="0">B11*C11</f>
        <v>0</v>
      </c>
      <c r="E11" s="89">
        <f>'Underlag -Transporter-Drivmede '!G7</f>
        <v>4.2999999999999997E-2</v>
      </c>
      <c r="F11" s="152">
        <f t="shared" ref="F11:F30" si="1">D11*E11</f>
        <v>0</v>
      </c>
      <c r="G11" s="153">
        <f>'Underlag -Transporter-Drivmede '!F7</f>
        <v>0.32256000000000001</v>
      </c>
      <c r="H11" s="154">
        <f>D11*G11</f>
        <v>0</v>
      </c>
      <c r="I11" s="154"/>
      <c r="R11" s="14"/>
    </row>
    <row r="12" spans="1:18" x14ac:dyDescent="0.3">
      <c r="A12" s="121" t="s">
        <v>12</v>
      </c>
      <c r="B12" s="109"/>
      <c r="C12" s="151">
        <f>'Underlag -Transporter-Drivmede '!C8</f>
        <v>8.64</v>
      </c>
      <c r="D12" s="152">
        <f>B12*C12</f>
        <v>0</v>
      </c>
      <c r="E12" s="89">
        <f>'Underlag -Transporter-Drivmede '!G8</f>
        <v>8.1000000000000003E-2</v>
      </c>
      <c r="F12" s="152">
        <f>D12*E12</f>
        <v>0</v>
      </c>
      <c r="G12" s="153">
        <f>'Underlag -Transporter-Drivmede '!F8</f>
        <v>0.27300000000000002</v>
      </c>
      <c r="H12" s="154">
        <f t="shared" ref="H12:H30" si="2">D12*G12</f>
        <v>0</v>
      </c>
      <c r="I12" s="154"/>
      <c r="R12" s="14"/>
    </row>
    <row r="13" spans="1:18" x14ac:dyDescent="0.3">
      <c r="A13" s="121" t="s">
        <v>228</v>
      </c>
      <c r="B13" s="109"/>
      <c r="C13" s="151">
        <f>'Underlag -Transporter-Drivmede '!C9</f>
        <v>8.9444444444444446</v>
      </c>
      <c r="D13" s="152">
        <f>B13*C13</f>
        <v>0</v>
      </c>
      <c r="E13" s="89">
        <f>'Underlag -Transporter-Drivmede '!G9</f>
        <v>4.9000000000000002E-2</v>
      </c>
      <c r="F13" s="152">
        <f>D13*E13</f>
        <v>0</v>
      </c>
      <c r="G13" s="153">
        <f>'Underlag -Transporter-Drivmede '!F9</f>
        <v>0.32367599999999996</v>
      </c>
      <c r="H13" s="154">
        <f t="shared" si="2"/>
        <v>0</v>
      </c>
      <c r="I13" s="154"/>
      <c r="R13" s="14"/>
    </row>
    <row r="14" spans="1:18" x14ac:dyDescent="0.3">
      <c r="A14" s="121" t="s">
        <v>444</v>
      </c>
      <c r="B14" s="109"/>
      <c r="C14" s="151">
        <f>'Underlag -Transporter-Drivmede '!C10</f>
        <v>9.8055555555555554</v>
      </c>
      <c r="D14" s="152">
        <f>B14*C14</f>
        <v>0</v>
      </c>
      <c r="E14" s="89">
        <f>'Underlag -Transporter-Drivmede '!G10</f>
        <v>0</v>
      </c>
      <c r="F14" s="152">
        <f>D14*E14</f>
        <v>0</v>
      </c>
      <c r="G14" s="153">
        <f>'Underlag -Transporter-Drivmede '!F10</f>
        <v>0.34236</v>
      </c>
      <c r="H14" s="154">
        <f t="shared" si="2"/>
        <v>0</v>
      </c>
      <c r="I14" s="154"/>
      <c r="R14" s="14"/>
    </row>
    <row r="15" spans="1:18" x14ac:dyDescent="0.3">
      <c r="A15" s="362" t="s">
        <v>442</v>
      </c>
      <c r="B15" s="109"/>
      <c r="C15" s="151">
        <f>'Underlag -Transporter-Drivmede '!C11</f>
        <v>9.75</v>
      </c>
      <c r="D15" s="152">
        <f t="shared" si="0"/>
        <v>0</v>
      </c>
      <c r="E15" s="156">
        <f>'Underlag -Transporter-Drivmede '!G11</f>
        <v>6.6000000000000003E-2</v>
      </c>
      <c r="F15" s="152">
        <f t="shared" si="1"/>
        <v>0</v>
      </c>
      <c r="G15" s="153">
        <f>'Underlag -Transporter-Drivmede '!F11</f>
        <v>0.31900000000000001</v>
      </c>
      <c r="H15" s="154">
        <f t="shared" si="2"/>
        <v>0</v>
      </c>
      <c r="I15" s="154"/>
      <c r="R15" s="14"/>
    </row>
    <row r="16" spans="1:18" x14ac:dyDescent="0.3">
      <c r="A16" s="121" t="s">
        <v>443</v>
      </c>
      <c r="B16" s="109"/>
      <c r="C16" s="151">
        <f>'Underlag -Transporter-Drivmede '!C12</f>
        <v>9.7638888888888875</v>
      </c>
      <c r="D16" s="152">
        <f t="shared" si="0"/>
        <v>0</v>
      </c>
      <c r="E16" s="156">
        <f>'Underlag -Transporter-Drivmede '!G12</f>
        <v>0.23899999999999999</v>
      </c>
      <c r="F16" s="152">
        <f>D16*E16</f>
        <v>0</v>
      </c>
      <c r="G16" s="153">
        <f>'Underlag -Transporter-Drivmede '!F12</f>
        <v>0.27072000000000002</v>
      </c>
      <c r="H16" s="154">
        <f t="shared" si="2"/>
        <v>0</v>
      </c>
      <c r="I16" s="154"/>
      <c r="R16" s="15"/>
    </row>
    <row r="17" spans="1:20" x14ac:dyDescent="0.3">
      <c r="A17" s="121" t="s">
        <v>197</v>
      </c>
      <c r="B17" s="109"/>
      <c r="C17" s="151">
        <f>'Underlag -Transporter-Drivmede '!C13</f>
        <v>9.6388888888888893</v>
      </c>
      <c r="D17" s="152">
        <f t="shared" si="0"/>
        <v>0</v>
      </c>
      <c r="E17" s="156">
        <f>'Underlag -Transporter-Drivmede '!G13</f>
        <v>0.41399999999999998</v>
      </c>
      <c r="F17" s="152">
        <f t="shared" ref="F17" si="3">D17*E17</f>
        <v>0</v>
      </c>
      <c r="G17" s="153">
        <f>'Underlag -Transporter-Drivmede '!F13</f>
        <v>0.21881376</v>
      </c>
      <c r="H17" s="154">
        <f t="shared" si="2"/>
        <v>0</v>
      </c>
      <c r="I17" s="154"/>
      <c r="R17" s="15"/>
    </row>
    <row r="18" spans="1:20" x14ac:dyDescent="0.3">
      <c r="A18" s="121" t="s">
        <v>13</v>
      </c>
      <c r="B18" s="109"/>
      <c r="C18" s="151">
        <f>'Underlag -Transporter-Drivmede '!C14</f>
        <v>9.67</v>
      </c>
      <c r="D18" s="152">
        <f t="shared" si="0"/>
        <v>0</v>
      </c>
      <c r="E18" s="156">
        <f>'Underlag -Transporter-Drivmede '!G14</f>
        <v>0.29199999999999998</v>
      </c>
      <c r="F18" s="152">
        <f>D18*E18</f>
        <v>0</v>
      </c>
      <c r="G18" s="153">
        <f>'Underlag -Transporter-Drivmede '!F14</f>
        <v>0.245</v>
      </c>
      <c r="H18" s="154">
        <f t="shared" si="2"/>
        <v>0</v>
      </c>
      <c r="I18" s="154"/>
      <c r="R18" s="14"/>
    </row>
    <row r="19" spans="1:20" x14ac:dyDescent="0.3">
      <c r="A19" s="121" t="s">
        <v>200</v>
      </c>
      <c r="B19" s="109"/>
      <c r="C19" s="151">
        <f>'Underlag -Transporter-Drivmede '!C17</f>
        <v>9.6944444444444446</v>
      </c>
      <c r="D19" s="152">
        <f t="shared" si="0"/>
        <v>0</v>
      </c>
      <c r="E19" s="89">
        <f>'Underlag -Transporter-Drivmede '!G17</f>
        <v>0.26250000000000001</v>
      </c>
      <c r="F19" s="152">
        <f t="shared" ref="F19:F20" si="4">D19*E19</f>
        <v>0</v>
      </c>
      <c r="G19" s="153">
        <f>'Underlag -Transporter-Drivmede '!F17</f>
        <v>0.26179200000000002</v>
      </c>
      <c r="H19" s="154">
        <f t="shared" si="2"/>
        <v>0</v>
      </c>
      <c r="I19" s="154"/>
      <c r="R19" s="14"/>
    </row>
    <row r="20" spans="1:20" x14ac:dyDescent="0.3">
      <c r="A20" s="121" t="s">
        <v>271</v>
      </c>
      <c r="B20" s="109"/>
      <c r="C20" s="151">
        <f>'Underlag -Transporter-Drivmede '!C18</f>
        <v>9.6944444444444446</v>
      </c>
      <c r="D20" s="152">
        <f t="shared" si="0"/>
        <v>0</v>
      </c>
      <c r="E20" s="89">
        <f>'Underlag -Transporter-Drivmede '!G18</f>
        <v>0.4027</v>
      </c>
      <c r="F20" s="152">
        <f t="shared" si="4"/>
        <v>0</v>
      </c>
      <c r="G20" s="153">
        <f>'Underlag -Transporter-Drivmede '!F18</f>
        <v>0.25052400000000002</v>
      </c>
      <c r="H20" s="154">
        <f t="shared" si="2"/>
        <v>0</v>
      </c>
      <c r="I20" s="154"/>
      <c r="R20" s="14"/>
    </row>
    <row r="21" spans="1:20" x14ac:dyDescent="0.3">
      <c r="A21" s="121" t="s">
        <v>14</v>
      </c>
      <c r="B21" s="109"/>
      <c r="C21" s="151">
        <f>'Underlag -Transporter-Drivmede '!C19</f>
        <v>9.44</v>
      </c>
      <c r="D21" s="152">
        <f>B21*C21</f>
        <v>0</v>
      </c>
      <c r="E21" s="89">
        <f>'Underlag -Transporter-Drivmede '!G19</f>
        <v>1</v>
      </c>
      <c r="F21" s="152">
        <f t="shared" ref="F21:F22" si="5">D21*E21</f>
        <v>0</v>
      </c>
      <c r="G21" s="153">
        <f>'Underlag -Transporter-Drivmede '!F19</f>
        <v>7.2999999999999995E-2</v>
      </c>
      <c r="H21" s="154">
        <f t="shared" si="2"/>
        <v>0</v>
      </c>
      <c r="I21" s="154"/>
      <c r="R21" s="14"/>
      <c r="T21" s="15"/>
    </row>
    <row r="22" spans="1:20" x14ac:dyDescent="0.3">
      <c r="A22" s="121" t="s">
        <v>15</v>
      </c>
      <c r="B22" s="109"/>
      <c r="C22" s="151">
        <f>'Underlag -Transporter-Drivmede '!C20</f>
        <v>9.17</v>
      </c>
      <c r="D22" s="152">
        <f t="shared" ref="D22" si="6">B22*C22</f>
        <v>0</v>
      </c>
      <c r="E22" s="89">
        <f>'Underlag -Transporter-Drivmede '!G20</f>
        <v>1</v>
      </c>
      <c r="F22" s="152">
        <f t="shared" si="5"/>
        <v>0</v>
      </c>
      <c r="G22" s="153">
        <f>'Underlag -Transporter-Drivmede '!F20</f>
        <v>0.11799999999999999</v>
      </c>
      <c r="H22" s="154">
        <f t="shared" si="2"/>
        <v>0</v>
      </c>
      <c r="I22" s="154"/>
      <c r="R22" s="14"/>
    </row>
    <row r="23" spans="1:20" x14ac:dyDescent="0.3">
      <c r="A23" s="121" t="s">
        <v>16</v>
      </c>
      <c r="B23" s="109"/>
      <c r="C23" s="151">
        <f>'Underlag -Transporter-Drivmede '!C21</f>
        <v>6.4550000000000001</v>
      </c>
      <c r="D23" s="152">
        <f t="shared" si="0"/>
        <v>0</v>
      </c>
      <c r="E23" s="89">
        <f>'Underlag -Transporter-Drivmede '!G21</f>
        <v>0.73</v>
      </c>
      <c r="F23" s="152">
        <f t="shared" si="1"/>
        <v>0</v>
      </c>
      <c r="G23" s="153">
        <f>'Underlag -Transporter-Drivmede '!F21</f>
        <v>0.17499999999999999</v>
      </c>
      <c r="H23" s="154">
        <f t="shared" si="2"/>
        <v>0</v>
      </c>
      <c r="I23" s="154"/>
      <c r="L23" s="13" t="s">
        <v>17</v>
      </c>
      <c r="R23" s="14"/>
    </row>
    <row r="24" spans="1:20" x14ac:dyDescent="0.3">
      <c r="A24" s="121" t="s">
        <v>18</v>
      </c>
      <c r="B24" s="109"/>
      <c r="C24" s="151">
        <f>'Underlag -Transporter-Drivmede '!C22</f>
        <v>13.25</v>
      </c>
      <c r="D24" s="152">
        <f t="shared" si="0"/>
        <v>0</v>
      </c>
      <c r="E24" s="89">
        <f>'Underlag -Transporter-Drivmede '!G22</f>
        <v>0</v>
      </c>
      <c r="F24" s="152">
        <f t="shared" si="1"/>
        <v>0</v>
      </c>
      <c r="G24" s="153">
        <f>'Underlag -Transporter-Drivmede '!F22</f>
        <v>0.25452000000000002</v>
      </c>
      <c r="H24" s="154">
        <f t="shared" si="2"/>
        <v>0</v>
      </c>
      <c r="I24" s="154"/>
      <c r="L24" s="157" t="s">
        <v>19</v>
      </c>
      <c r="M24" s="158" t="e">
        <f>D34</f>
        <v>#DIV/0!</v>
      </c>
      <c r="R24" s="15"/>
    </row>
    <row r="25" spans="1:20" x14ac:dyDescent="0.3">
      <c r="A25" s="121" t="s">
        <v>20</v>
      </c>
      <c r="B25" s="109"/>
      <c r="C25" s="151">
        <f>'Underlag -Transporter-Drivmede '!C23</f>
        <v>12.93</v>
      </c>
      <c r="D25" s="152">
        <f t="shared" si="0"/>
        <v>0</v>
      </c>
      <c r="E25" s="89">
        <f>'Underlag -Transporter-Drivmede '!G23</f>
        <v>1</v>
      </c>
      <c r="F25" s="152">
        <f t="shared" si="1"/>
        <v>0</v>
      </c>
      <c r="G25" s="153">
        <f>'Underlag -Transporter-Drivmede '!F23</f>
        <v>4.4999999999999998E-2</v>
      </c>
      <c r="H25" s="154">
        <f t="shared" si="2"/>
        <v>0</v>
      </c>
      <c r="I25" s="154"/>
      <c r="L25" s="13" t="s">
        <v>21</v>
      </c>
      <c r="M25" s="158" t="e">
        <f>1-M24</f>
        <v>#DIV/0!</v>
      </c>
      <c r="R25" s="14"/>
    </row>
    <row r="26" spans="1:20" x14ac:dyDescent="0.3">
      <c r="A26" s="121" t="s">
        <v>22</v>
      </c>
      <c r="B26" s="109"/>
      <c r="C26" s="151">
        <v>1</v>
      </c>
      <c r="D26" s="152">
        <f t="shared" si="0"/>
        <v>0</v>
      </c>
      <c r="E26" s="155">
        <v>1</v>
      </c>
      <c r="F26" s="152">
        <f t="shared" si="1"/>
        <v>0</v>
      </c>
      <c r="G26" s="153">
        <f>'Underlag -Transporter-Drivmede '!F97</f>
        <v>0</v>
      </c>
      <c r="H26" s="154">
        <f t="shared" si="2"/>
        <v>0</v>
      </c>
      <c r="I26" s="154"/>
      <c r="R26" s="14"/>
    </row>
    <row r="27" spans="1:20" x14ac:dyDescent="0.3">
      <c r="A27" s="121" t="s">
        <v>23</v>
      </c>
      <c r="B27" s="109"/>
      <c r="C27" s="151">
        <f>'Underlag -Transporter-Drivmede '!C25</f>
        <v>9.56</v>
      </c>
      <c r="D27" s="152">
        <f t="shared" si="0"/>
        <v>0</v>
      </c>
      <c r="E27" s="89">
        <f>'Underlag -Transporter-Drivmede '!G25</f>
        <v>0</v>
      </c>
      <c r="F27" s="152">
        <f>D27*E27</f>
        <v>0</v>
      </c>
      <c r="G27" s="153">
        <f>'Underlag -Transporter-Drivmede '!F25</f>
        <v>0.20541599999999999</v>
      </c>
      <c r="H27" s="154">
        <f t="shared" si="2"/>
        <v>0</v>
      </c>
      <c r="I27" s="154"/>
      <c r="R27" s="14"/>
    </row>
    <row r="28" spans="1:20" x14ac:dyDescent="0.3">
      <c r="A28" s="121" t="s">
        <v>24</v>
      </c>
      <c r="B28" s="109"/>
      <c r="C28" s="151">
        <f>'Underlag -Transporter-Drivmede '!C26</f>
        <v>9.56</v>
      </c>
      <c r="D28" s="152">
        <f t="shared" si="0"/>
        <v>0</v>
      </c>
      <c r="E28" s="89">
        <f>'Underlag -Transporter-Drivmede '!G26</f>
        <v>1</v>
      </c>
      <c r="F28" s="152">
        <f>D28*E28</f>
        <v>0</v>
      </c>
      <c r="G28" s="153">
        <f>'Underlag -Transporter-Drivmede '!F26</f>
        <v>7.2999999999999995E-2</v>
      </c>
      <c r="H28" s="154">
        <f t="shared" si="2"/>
        <v>0</v>
      </c>
      <c r="I28" s="154"/>
      <c r="R28" s="14"/>
    </row>
    <row r="29" spans="1:20" x14ac:dyDescent="0.3">
      <c r="A29" s="121" t="s">
        <v>25</v>
      </c>
      <c r="B29" s="109"/>
      <c r="C29" s="109"/>
      <c r="D29" s="152">
        <f t="shared" si="0"/>
        <v>0</v>
      </c>
      <c r="E29" s="155"/>
      <c r="F29" s="152">
        <f t="shared" si="1"/>
        <v>0</v>
      </c>
      <c r="G29" s="159"/>
      <c r="H29" s="154">
        <f t="shared" si="2"/>
        <v>0</v>
      </c>
      <c r="I29" s="154"/>
      <c r="R29" s="14"/>
    </row>
    <row r="30" spans="1:20" x14ac:dyDescent="0.3">
      <c r="A30" s="121" t="s">
        <v>25</v>
      </c>
      <c r="B30" s="109"/>
      <c r="C30" s="109"/>
      <c r="D30" s="152">
        <f t="shared" si="0"/>
        <v>0</v>
      </c>
      <c r="E30" s="155"/>
      <c r="F30" s="152">
        <f t="shared" si="1"/>
        <v>0</v>
      </c>
      <c r="G30" s="159"/>
      <c r="H30" s="154">
        <f t="shared" si="2"/>
        <v>0</v>
      </c>
      <c r="I30" s="154"/>
      <c r="M30" s="156"/>
      <c r="R30" s="14"/>
    </row>
    <row r="31" spans="1:20" x14ac:dyDescent="0.3">
      <c r="A31" s="121"/>
      <c r="B31" s="121"/>
      <c r="C31" s="121"/>
      <c r="D31" s="121"/>
      <c r="E31" s="121"/>
      <c r="F31" s="121"/>
      <c r="H31" s="154"/>
      <c r="I31" s="154"/>
    </row>
    <row r="32" spans="1:20" ht="15" thickBot="1" x14ac:dyDescent="0.35">
      <c r="A32" s="160" t="s">
        <v>185</v>
      </c>
      <c r="B32" s="161"/>
      <c r="C32" s="162"/>
      <c r="D32" s="163">
        <f>SUM(D11:D30)</f>
        <v>0</v>
      </c>
      <c r="E32" s="160"/>
      <c r="F32" s="163">
        <f>SUM(F11:F30)</f>
        <v>0</v>
      </c>
      <c r="G32" s="164"/>
      <c r="H32" s="256">
        <f>SUM(H11:H30)</f>
        <v>0</v>
      </c>
      <c r="I32" s="165"/>
    </row>
    <row r="33" spans="1:13" ht="15.6" thickTop="1" thickBot="1" x14ac:dyDescent="0.35">
      <c r="A33" s="121"/>
      <c r="B33" s="121"/>
      <c r="C33" s="121"/>
      <c r="D33" s="121"/>
      <c r="E33" s="121"/>
      <c r="F33" s="121"/>
    </row>
    <row r="34" spans="1:13" ht="15" thickBot="1" x14ac:dyDescent="0.35">
      <c r="B34" s="166" t="s">
        <v>27</v>
      </c>
      <c r="C34" s="167"/>
      <c r="D34" s="168" t="e">
        <f>F32/D32</f>
        <v>#DIV/0!</v>
      </c>
    </row>
    <row r="35" spans="1:13" x14ac:dyDescent="0.3">
      <c r="F35" s="121"/>
      <c r="G35" s="169"/>
      <c r="H35" s="121"/>
      <c r="I35" s="121"/>
      <c r="J35" s="121"/>
      <c r="K35" s="121"/>
    </row>
    <row r="36" spans="1:13" x14ac:dyDescent="0.3">
      <c r="F36" s="121"/>
      <c r="G36" s="121"/>
      <c r="H36" s="121"/>
      <c r="I36" s="121"/>
      <c r="J36" s="121"/>
      <c r="K36" s="121"/>
    </row>
    <row r="37" spans="1:13" ht="15.6" x14ac:dyDescent="0.3">
      <c r="A37" s="146" t="s">
        <v>229</v>
      </c>
      <c r="F37" s="121"/>
      <c r="G37" s="121"/>
      <c r="H37" s="121"/>
      <c r="I37" s="121"/>
      <c r="J37" s="121"/>
      <c r="K37" s="121"/>
    </row>
    <row r="38" spans="1:13" ht="28.8" x14ac:dyDescent="0.3">
      <c r="A38" s="170" t="s">
        <v>28</v>
      </c>
      <c r="B38" s="171" t="s">
        <v>56</v>
      </c>
      <c r="C38" s="150" t="s">
        <v>8</v>
      </c>
      <c r="D38" s="150" t="s">
        <v>9</v>
      </c>
      <c r="E38" s="150" t="s">
        <v>65</v>
      </c>
      <c r="F38" s="150" t="s">
        <v>219</v>
      </c>
      <c r="G38" s="150" t="s">
        <v>168</v>
      </c>
      <c r="H38" s="150" t="s">
        <v>63</v>
      </c>
      <c r="I38" s="150" t="s">
        <v>220</v>
      </c>
      <c r="J38" s="171" t="s">
        <v>3</v>
      </c>
    </row>
    <row r="39" spans="1:13" x14ac:dyDescent="0.3">
      <c r="A39" s="13" t="s">
        <v>57</v>
      </c>
      <c r="B39" s="109"/>
      <c r="C39" s="151">
        <f>'Underlag-Transport-Övriga'!B5</f>
        <v>0.49673613208603568</v>
      </c>
      <c r="D39" s="152">
        <f>B39*C39</f>
        <v>0</v>
      </c>
      <c r="E39" s="89">
        <f>'Underlag-Transport-Övriga'!C5</f>
        <v>0.17232337631620828</v>
      </c>
      <c r="F39" s="152">
        <f>D39*E39</f>
        <v>0</v>
      </c>
      <c r="G39" s="153">
        <f>'Underlag-Transport-Övriga'!D5</f>
        <v>0.14558970220567097</v>
      </c>
      <c r="H39" s="153">
        <f>B39*G39</f>
        <v>0</v>
      </c>
      <c r="I39" s="154">
        <f>B39*E39</f>
        <v>0</v>
      </c>
      <c r="J39" s="14"/>
    </row>
    <row r="40" spans="1:13" ht="16.2" x14ac:dyDescent="0.3">
      <c r="A40" s="13" t="s">
        <v>230</v>
      </c>
      <c r="B40" s="109"/>
      <c r="C40" s="151">
        <f>'Underlag-Transport-Övriga'!B6</f>
        <v>8.1000000000000003E-2</v>
      </c>
      <c r="D40" s="152">
        <f>B40*C40</f>
        <v>0</v>
      </c>
      <c r="E40" s="89">
        <f>'Underlag-Transport-Övriga'!C6</f>
        <v>1</v>
      </c>
      <c r="F40" s="152">
        <f>D40*E40</f>
        <v>0</v>
      </c>
      <c r="G40" s="153">
        <f>'Underlag-Transport-Övriga'!D6</f>
        <v>0</v>
      </c>
      <c r="H40" s="153">
        <f t="shared" ref="H40:H48" si="7">B40*G40</f>
        <v>0</v>
      </c>
      <c r="I40" s="154">
        <f t="shared" ref="I40:I48" si="8">B40*E40</f>
        <v>0</v>
      </c>
      <c r="J40" s="14"/>
    </row>
    <row r="41" spans="1:13" x14ac:dyDescent="0.3">
      <c r="A41" s="13" t="s">
        <v>58</v>
      </c>
      <c r="B41" s="109"/>
      <c r="C41" s="151">
        <f>'Underlag-Transport-Övriga'!B7</f>
        <v>0.94444444444444442</v>
      </c>
      <c r="D41" s="152">
        <f>B41*C41</f>
        <v>0</v>
      </c>
      <c r="E41" s="89">
        <f>'Underlag-Transport-Övriga'!C7</f>
        <v>0</v>
      </c>
      <c r="F41" s="152">
        <f>D41*E41</f>
        <v>0</v>
      </c>
      <c r="G41" s="153">
        <f>'Underlag-Transport-Övriga'!D7</f>
        <v>0.24</v>
      </c>
      <c r="H41" s="153">
        <f t="shared" si="7"/>
        <v>0</v>
      </c>
      <c r="I41" s="154">
        <f t="shared" si="8"/>
        <v>0</v>
      </c>
      <c r="J41" s="14"/>
    </row>
    <row r="42" spans="1:13" x14ac:dyDescent="0.3">
      <c r="A42" s="13" t="s">
        <v>59</v>
      </c>
      <c r="B42" s="109"/>
      <c r="C42" s="151">
        <f>'Underlag-Transport-Övriga'!B8</f>
        <v>0.48888888888888893</v>
      </c>
      <c r="D42" s="152">
        <f t="shared" ref="D42:D44" si="9">B42*C42</f>
        <v>0</v>
      </c>
      <c r="E42" s="89">
        <f>'Underlag-Transport-Övriga'!C8</f>
        <v>0</v>
      </c>
      <c r="F42" s="152">
        <f t="shared" ref="F42" si="10">D42*E42</f>
        <v>0</v>
      </c>
      <c r="G42" s="153">
        <f>'Underlag-Transport-Övriga'!D8</f>
        <v>0.14500000000000002</v>
      </c>
      <c r="H42" s="153">
        <f t="shared" si="7"/>
        <v>0</v>
      </c>
      <c r="I42" s="154">
        <f t="shared" si="8"/>
        <v>0</v>
      </c>
      <c r="J42" s="14"/>
    </row>
    <row r="43" spans="1:13" ht="16.2" x14ac:dyDescent="0.3">
      <c r="A43" s="13" t="s">
        <v>231</v>
      </c>
      <c r="B43" s="109"/>
      <c r="C43" s="151">
        <f>'Underlag-Transport-Övriga'!B9</f>
        <v>0.31</v>
      </c>
      <c r="D43" s="152">
        <f t="shared" si="9"/>
        <v>0</v>
      </c>
      <c r="E43" s="89">
        <f>'Underlag-Transport-Övriga'!C9</f>
        <v>1</v>
      </c>
      <c r="F43" s="152">
        <f>D43*E43</f>
        <v>0</v>
      </c>
      <c r="G43" s="153">
        <f>'Underlag-Transport-Övriga'!D9</f>
        <v>1.2699999999999999E-2</v>
      </c>
      <c r="H43" s="153">
        <f t="shared" si="7"/>
        <v>0</v>
      </c>
      <c r="I43" s="154">
        <f t="shared" si="8"/>
        <v>0</v>
      </c>
      <c r="J43" s="14"/>
    </row>
    <row r="44" spans="1:13" ht="16.2" x14ac:dyDescent="0.3">
      <c r="A44" s="13" t="s">
        <v>232</v>
      </c>
      <c r="B44" s="109"/>
      <c r="C44" s="172">
        <f>'Underlag-Transport-Övriga'!B10</f>
        <v>0.49362</v>
      </c>
      <c r="D44" s="152">
        <f t="shared" si="9"/>
        <v>0</v>
      </c>
      <c r="E44" s="155">
        <f>'Underlag-Transport-Övriga'!C10</f>
        <v>0.17232337631620828</v>
      </c>
      <c r="F44" s="152">
        <f>D44*E44</f>
        <v>0</v>
      </c>
      <c r="G44" s="173">
        <f>'Underlag-Transport-Övriga'!D10</f>
        <v>0.13475826000000002</v>
      </c>
      <c r="H44" s="153">
        <f t="shared" si="7"/>
        <v>0</v>
      </c>
      <c r="I44" s="154">
        <f t="shared" si="8"/>
        <v>0</v>
      </c>
      <c r="J44" s="14"/>
      <c r="L44" s="13" t="s">
        <v>203</v>
      </c>
    </row>
    <row r="45" spans="1:13" ht="16.2" x14ac:dyDescent="0.3">
      <c r="A45" s="14" t="s">
        <v>233</v>
      </c>
      <c r="B45" s="109"/>
      <c r="C45" s="172">
        <f>'Underlag-Transport-Övriga'!B11</f>
        <v>0.41949673629242823</v>
      </c>
      <c r="D45" s="152">
        <f>B45*C45</f>
        <v>0</v>
      </c>
      <c r="E45" s="155">
        <f>'Underlag-Transport-Övriga'!C11</f>
        <v>0.33729227356904901</v>
      </c>
      <c r="F45" s="152">
        <f t="shared" ref="F45:F47" si="11">D45*E45</f>
        <v>0</v>
      </c>
      <c r="G45" s="173">
        <f>'Underlag-Transport-Övriga'!D11</f>
        <v>9.999243253026345E-2</v>
      </c>
      <c r="H45" s="153">
        <f>B45*G45</f>
        <v>0</v>
      </c>
      <c r="I45" s="154">
        <f t="shared" si="8"/>
        <v>0</v>
      </c>
      <c r="J45" s="14"/>
      <c r="L45" s="174" t="s">
        <v>19</v>
      </c>
      <c r="M45" s="175" t="e">
        <f>H53</f>
        <v>#DIV/0!</v>
      </c>
    </row>
    <row r="46" spans="1:13" x14ac:dyDescent="0.3">
      <c r="A46" s="14" t="s">
        <v>209</v>
      </c>
      <c r="B46" s="176"/>
      <c r="C46" s="172">
        <f>'Underlag-Transport-Övriga'!G63</f>
        <v>0.6</v>
      </c>
      <c r="D46" s="152">
        <f t="shared" ref="D46:D47" si="12">B46*C46</f>
        <v>0</v>
      </c>
      <c r="E46" s="155">
        <f>'Underlag-Transport-Övriga'!C12</f>
        <v>0.05</v>
      </c>
      <c r="F46" s="152">
        <f t="shared" si="11"/>
        <v>0</v>
      </c>
      <c r="G46" s="173">
        <f>'Underlag-Transport-Övriga'!H63</f>
        <v>0.17</v>
      </c>
      <c r="H46" s="153">
        <f t="shared" si="7"/>
        <v>0</v>
      </c>
      <c r="I46" s="154">
        <f t="shared" si="8"/>
        <v>0</v>
      </c>
      <c r="J46" s="14"/>
      <c r="L46" s="13" t="s">
        <v>21</v>
      </c>
      <c r="M46" s="175" t="e">
        <f>1-M45</f>
        <v>#DIV/0!</v>
      </c>
    </row>
    <row r="47" spans="1:13" x14ac:dyDescent="0.3">
      <c r="A47" s="14" t="s">
        <v>25</v>
      </c>
      <c r="B47" s="109"/>
      <c r="C47" s="172"/>
      <c r="D47" s="152">
        <f t="shared" si="12"/>
        <v>0</v>
      </c>
      <c r="E47" s="155"/>
      <c r="F47" s="152">
        <f t="shared" si="11"/>
        <v>0</v>
      </c>
      <c r="G47" s="173"/>
      <c r="H47" s="153">
        <f t="shared" si="7"/>
        <v>0</v>
      </c>
      <c r="I47" s="154">
        <f t="shared" si="8"/>
        <v>0</v>
      </c>
      <c r="J47" s="14"/>
    </row>
    <row r="48" spans="1:13" x14ac:dyDescent="0.3">
      <c r="A48" s="14" t="s">
        <v>25</v>
      </c>
      <c r="B48" s="109"/>
      <c r="C48" s="172"/>
      <c r="D48" s="152">
        <f t="shared" ref="D48" si="13">B48*C48</f>
        <v>0</v>
      </c>
      <c r="E48" s="155"/>
      <c r="F48" s="152">
        <f t="shared" ref="F48" si="14">D48*E48</f>
        <v>0</v>
      </c>
      <c r="G48" s="173"/>
      <c r="H48" s="153">
        <f t="shared" si="7"/>
        <v>0</v>
      </c>
      <c r="I48" s="154">
        <f t="shared" si="8"/>
        <v>0</v>
      </c>
      <c r="J48" s="14"/>
      <c r="L48" s="13" t="s">
        <v>202</v>
      </c>
    </row>
    <row r="49" spans="1:13" x14ac:dyDescent="0.3">
      <c r="A49" s="121"/>
      <c r="B49" s="121"/>
      <c r="C49" s="121"/>
      <c r="D49" s="121"/>
      <c r="E49" s="121"/>
      <c r="F49" s="121"/>
      <c r="H49" s="154"/>
      <c r="L49" s="13" t="s">
        <v>19</v>
      </c>
      <c r="M49" s="175" t="e">
        <f>D53</f>
        <v>#DIV/0!</v>
      </c>
    </row>
    <row r="50" spans="1:13" ht="15" thickBot="1" x14ac:dyDescent="0.35">
      <c r="A50" s="162" t="s">
        <v>26</v>
      </c>
      <c r="B50" s="163">
        <f>SUM(B39:B48)</f>
        <v>0</v>
      </c>
      <c r="C50" s="162"/>
      <c r="D50" s="163">
        <f>SUM(D39:D48)</f>
        <v>0</v>
      </c>
      <c r="E50" s="160"/>
      <c r="F50" s="163">
        <f>SUM(F39:F48)</f>
        <v>0</v>
      </c>
      <c r="G50" s="164"/>
      <c r="H50" s="256">
        <f>SUM(H39:H48)</f>
        <v>0</v>
      </c>
      <c r="I50" s="256">
        <f>SUM(I39:I48)</f>
        <v>0</v>
      </c>
      <c r="L50" s="13" t="s">
        <v>21</v>
      </c>
      <c r="M50" s="158" t="e">
        <f>1-M49</f>
        <v>#DIV/0!</v>
      </c>
    </row>
    <row r="51" spans="1:13" ht="15" thickTop="1" x14ac:dyDescent="0.3">
      <c r="A51" s="177" t="s">
        <v>234</v>
      </c>
      <c r="B51" s="121"/>
      <c r="C51" s="121"/>
      <c r="D51" s="121"/>
      <c r="E51" s="121"/>
      <c r="F51" s="121"/>
    </row>
    <row r="52" spans="1:13" ht="15" thickBot="1" x14ac:dyDescent="0.35">
      <c r="A52" s="177" t="s">
        <v>235</v>
      </c>
    </row>
    <row r="53" spans="1:13" ht="15" thickBot="1" x14ac:dyDescent="0.35">
      <c r="B53" s="166" t="s">
        <v>123</v>
      </c>
      <c r="C53" s="167"/>
      <c r="D53" s="168" t="e">
        <f>F50/D50</f>
        <v>#DIV/0!</v>
      </c>
      <c r="F53" s="166" t="s">
        <v>29</v>
      </c>
      <c r="G53" s="178"/>
      <c r="H53" s="179" t="e">
        <f>I50/B50</f>
        <v>#DIV/0!</v>
      </c>
    </row>
    <row r="54" spans="1:13" x14ac:dyDescent="0.3">
      <c r="B54" s="180"/>
      <c r="C54" s="180"/>
      <c r="D54" s="181"/>
      <c r="E54" s="121"/>
      <c r="F54" s="182"/>
      <c r="G54" s="183"/>
      <c r="H54" s="184"/>
      <c r="I54" s="121"/>
    </row>
    <row r="55" spans="1:13" x14ac:dyDescent="0.3">
      <c r="A55" s="185" t="s">
        <v>423</v>
      </c>
      <c r="B55" s="180"/>
      <c r="C55" s="180"/>
      <c r="D55" s="181"/>
      <c r="E55" s="121"/>
      <c r="F55" s="182"/>
      <c r="G55" s="183"/>
      <c r="H55" s="184"/>
      <c r="I55" s="121"/>
    </row>
    <row r="56" spans="1:13" ht="27.6" x14ac:dyDescent="0.3">
      <c r="A56" s="130"/>
      <c r="B56" s="186" t="s">
        <v>56</v>
      </c>
      <c r="C56" s="187" t="s">
        <v>8</v>
      </c>
      <c r="D56" s="187" t="s">
        <v>9</v>
      </c>
      <c r="E56" s="187" t="s">
        <v>65</v>
      </c>
      <c r="F56" s="187" t="s">
        <v>60</v>
      </c>
      <c r="G56" s="187" t="s">
        <v>168</v>
      </c>
      <c r="H56" s="187" t="s">
        <v>63</v>
      </c>
      <c r="I56" s="187" t="s">
        <v>124</v>
      </c>
      <c r="J56" s="186" t="s">
        <v>3</v>
      </c>
    </row>
    <row r="57" spans="1:13" ht="15" x14ac:dyDescent="0.3">
      <c r="A57" s="130" t="s">
        <v>217</v>
      </c>
      <c r="B57" s="188"/>
      <c r="C57" s="189">
        <f>'Underlag-Transport-Övriga'!B14</f>
        <v>0.71865443425076447</v>
      </c>
      <c r="D57" s="129">
        <f>B57*C57</f>
        <v>0</v>
      </c>
      <c r="E57" s="190">
        <f>'Underlag-Transport-Övriga'!C14</f>
        <v>0.51876665861560223</v>
      </c>
      <c r="F57" s="129">
        <f t="shared" ref="F57" si="15">D57*E57</f>
        <v>0</v>
      </c>
      <c r="G57" s="191">
        <f>'Underlag-Transport-Övriga'!D14</f>
        <v>1.2230000000000001E-2</v>
      </c>
      <c r="H57" s="192">
        <f>B57*G57</f>
        <v>0</v>
      </c>
      <c r="I57" s="192">
        <f>B57*E57</f>
        <v>0</v>
      </c>
      <c r="J57" s="192"/>
    </row>
    <row r="58" spans="1:13" ht="15" x14ac:dyDescent="0.3">
      <c r="A58" s="130" t="s">
        <v>218</v>
      </c>
      <c r="B58" s="193"/>
      <c r="C58" s="126">
        <f>'Underlag-Transport-Övriga'!B15</f>
        <v>2.5773999999999999</v>
      </c>
      <c r="D58" s="129">
        <f>B58*C58</f>
        <v>0</v>
      </c>
      <c r="E58" s="190">
        <f>'Underlag-Transport-Övriga'!C15</f>
        <v>0.23299926492998907</v>
      </c>
      <c r="F58" s="129">
        <f>D58*E58</f>
        <v>0</v>
      </c>
      <c r="G58" s="194">
        <f>'Underlag-Transport-Övriga'!D15</f>
        <v>0.70363019999999998</v>
      </c>
      <c r="H58" s="192">
        <f>B58*G58</f>
        <v>0</v>
      </c>
      <c r="I58" s="192">
        <f>B58*E58</f>
        <v>0</v>
      </c>
      <c r="J58" s="192"/>
      <c r="L58" s="13" t="s">
        <v>246</v>
      </c>
    </row>
    <row r="59" spans="1:13" ht="15" x14ac:dyDescent="0.3">
      <c r="A59" s="357" t="s">
        <v>427</v>
      </c>
      <c r="B59" s="353"/>
      <c r="C59" s="354"/>
      <c r="D59" s="129">
        <f>B59*C59</f>
        <v>0</v>
      </c>
      <c r="E59" s="190"/>
      <c r="F59" s="129">
        <f>D59*E59</f>
        <v>0</v>
      </c>
      <c r="G59" s="355"/>
      <c r="H59" s="192">
        <f t="shared" ref="H59:H60" si="16">B59*G59</f>
        <v>0</v>
      </c>
      <c r="I59" s="192">
        <f t="shared" ref="I59:I60" si="17">B59*E59</f>
        <v>0</v>
      </c>
      <c r="J59" s="192"/>
    </row>
    <row r="60" spans="1:13" ht="15" x14ac:dyDescent="0.3">
      <c r="A60" s="357" t="s">
        <v>428</v>
      </c>
      <c r="B60" s="353"/>
      <c r="C60" s="354"/>
      <c r="D60" s="129">
        <f t="shared" ref="D60" si="18">B60*C60</f>
        <v>0</v>
      </c>
      <c r="E60" s="190"/>
      <c r="F60" s="129">
        <f t="shared" ref="F60" si="19">D60*E60</f>
        <v>0</v>
      </c>
      <c r="G60" s="355"/>
      <c r="H60" s="192">
        <f t="shared" si="16"/>
        <v>0</v>
      </c>
      <c r="I60" s="192">
        <f t="shared" si="17"/>
        <v>0</v>
      </c>
      <c r="J60" s="192"/>
    </row>
    <row r="61" spans="1:13" ht="15" thickBot="1" x14ac:dyDescent="0.35">
      <c r="A61" s="257" t="s">
        <v>185</v>
      </c>
      <c r="B61" s="258">
        <f>SUM(B57:B58)</f>
        <v>0</v>
      </c>
      <c r="C61" s="259"/>
      <c r="D61" s="258">
        <f>SUM(D57:D58)</f>
        <v>0</v>
      </c>
      <c r="E61" s="259"/>
      <c r="F61" s="258">
        <f>SUM(F57:F58)</f>
        <v>0</v>
      </c>
      <c r="G61" s="259"/>
      <c r="H61" s="258">
        <f>SUM(H57:H58)</f>
        <v>0</v>
      </c>
      <c r="I61" s="258">
        <f>SUM(I57:I58)</f>
        <v>0</v>
      </c>
      <c r="J61" s="130"/>
      <c r="L61" s="13" t="s">
        <v>19</v>
      </c>
      <c r="M61" s="175" t="e">
        <f>D63</f>
        <v>#DIV/0!</v>
      </c>
    </row>
    <row r="62" spans="1:13" ht="15" thickTop="1" x14ac:dyDescent="0.3">
      <c r="K62" s="156"/>
      <c r="L62" s="13" t="s">
        <v>21</v>
      </c>
      <c r="M62" s="158" t="e">
        <f>1-M61</f>
        <v>#DIV/0!</v>
      </c>
    </row>
    <row r="63" spans="1:13" x14ac:dyDescent="0.3">
      <c r="B63" s="195" t="s">
        <v>199</v>
      </c>
      <c r="C63" s="196"/>
      <c r="D63" s="197" t="e">
        <f>(F57+F58+D59+D60)/(D57+D58+F59+F60)</f>
        <v>#DIV/0!</v>
      </c>
      <c r="E63" s="130"/>
      <c r="F63" s="195" t="s">
        <v>198</v>
      </c>
      <c r="G63" s="196"/>
      <c r="H63" s="197" t="e">
        <f>(I57+I58)/(B57+B58)</f>
        <v>#DIV/0!</v>
      </c>
    </row>
    <row r="64" spans="1:13" x14ac:dyDescent="0.3">
      <c r="F64" s="121"/>
      <c r="G64" s="121"/>
    </row>
    <row r="65" spans="1:15" x14ac:dyDescent="0.3">
      <c r="A65" s="177" t="s">
        <v>235</v>
      </c>
      <c r="F65" s="121"/>
      <c r="G65" s="121"/>
    </row>
    <row r="66" spans="1:15" x14ac:dyDescent="0.3">
      <c r="A66" s="356" t="s">
        <v>417</v>
      </c>
      <c r="B66" s="356"/>
      <c r="C66" s="356"/>
      <c r="D66" s="356"/>
      <c r="E66" s="356"/>
      <c r="F66" s="121"/>
      <c r="G66" s="121"/>
    </row>
    <row r="67" spans="1:15" x14ac:dyDescent="0.3">
      <c r="A67" s="169" t="s">
        <v>210</v>
      </c>
      <c r="F67" s="121"/>
      <c r="G67" s="121"/>
    </row>
    <row r="68" spans="1:15" x14ac:dyDescent="0.3">
      <c r="F68" s="121"/>
      <c r="G68" s="121"/>
      <c r="H68" s="121"/>
      <c r="I68" s="121"/>
      <c r="J68" s="121"/>
      <c r="K68" s="121"/>
    </row>
    <row r="69" spans="1:15" x14ac:dyDescent="0.3">
      <c r="F69" s="121"/>
      <c r="G69" s="121"/>
      <c r="H69" s="121"/>
      <c r="I69" s="121"/>
      <c r="J69" s="121"/>
      <c r="K69" s="121"/>
    </row>
    <row r="70" spans="1:15" x14ac:dyDescent="0.3">
      <c r="F70" s="121"/>
      <c r="G70" s="121"/>
      <c r="H70" s="121"/>
      <c r="I70" s="121"/>
      <c r="J70" s="121"/>
      <c r="K70" s="121"/>
    </row>
    <row r="71" spans="1:15" ht="15.6" x14ac:dyDescent="0.3">
      <c r="A71" s="146"/>
      <c r="H71" s="121"/>
      <c r="I71" s="121"/>
      <c r="J71" s="121"/>
      <c r="K71" s="121"/>
    </row>
    <row r="72" spans="1:15" x14ac:dyDescent="0.3">
      <c r="C72" s="180"/>
      <c r="D72" s="198"/>
      <c r="O72" s="14"/>
    </row>
    <row r="73" spans="1:15" x14ac:dyDescent="0.3">
      <c r="O73" s="14"/>
    </row>
    <row r="76" spans="1:15" ht="17.25" customHeight="1" x14ac:dyDescent="0.3"/>
    <row r="77" spans="1:15" ht="15" customHeight="1" x14ac:dyDescent="0.3"/>
    <row r="78" spans="1:15" ht="17.25" customHeight="1" x14ac:dyDescent="0.3"/>
    <row r="79" spans="1:15" ht="17.25" customHeight="1" x14ac:dyDescent="0.3">
      <c r="A79" s="199"/>
    </row>
  </sheetData>
  <mergeCells count="1">
    <mergeCell ref="A1:F5"/>
  </mergeCells>
  <pageMargins left="0.7" right="0.7" top="0.75" bottom="0.75" header="0.3" footer="0.3"/>
  <pageSetup paperSize="9" scale="46" orientation="landscape" r:id="rId1"/>
  <colBreaks count="1" manualBreakCount="1">
    <brk id="6"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BE84-F038-44ED-8E51-D4C7AEDC51C2}">
  <sheetPr>
    <pageSetUpPr fitToPage="1"/>
  </sheetPr>
  <dimension ref="A1:P48"/>
  <sheetViews>
    <sheetView zoomScale="85" zoomScaleNormal="85" zoomScaleSheetLayoutView="80" workbookViewId="0">
      <selection activeCell="B11" sqref="B11:B17"/>
    </sheetView>
  </sheetViews>
  <sheetFormatPr defaultColWidth="8.6640625" defaultRowHeight="14.4" x14ac:dyDescent="0.3"/>
  <cols>
    <col min="1" max="1" width="47.21875" style="13" customWidth="1"/>
    <col min="2" max="2" width="16.33203125" style="13" customWidth="1"/>
    <col min="3" max="3" width="19.6640625" style="13" customWidth="1"/>
    <col min="4" max="4" width="22.109375" style="13" customWidth="1"/>
    <col min="5" max="5" width="13.33203125" style="13" customWidth="1"/>
    <col min="6" max="6" width="11.6640625" style="13" customWidth="1"/>
    <col min="7" max="7" width="9.6640625" style="13" bestFit="1" customWidth="1"/>
    <col min="8" max="8" width="8.6640625" style="13"/>
    <col min="9" max="9" width="12.6640625" style="13" bestFit="1" customWidth="1"/>
    <col min="10" max="10" width="8.6640625" style="13"/>
    <col min="11" max="11" width="11.6640625" style="13" customWidth="1"/>
    <col min="12" max="14" width="8.6640625" style="13"/>
    <col min="15" max="15" width="30.6640625" style="13" customWidth="1"/>
    <col min="16" max="16" width="11" style="13" customWidth="1"/>
    <col min="17" max="18" width="11.6640625" style="13" customWidth="1"/>
    <col min="19" max="19" width="12.5546875" style="13" customWidth="1"/>
    <col min="20" max="16384" width="8.6640625" style="13"/>
  </cols>
  <sheetData>
    <row r="1" spans="1:13" ht="21" customHeight="1" x14ac:dyDescent="0.3">
      <c r="A1" s="385" t="s">
        <v>434</v>
      </c>
      <c r="B1" s="397"/>
      <c r="C1" s="397"/>
      <c r="D1" s="405"/>
      <c r="E1" s="405"/>
      <c r="F1" s="405"/>
      <c r="G1" s="406"/>
    </row>
    <row r="2" spans="1:13" x14ac:dyDescent="0.3">
      <c r="A2" s="399"/>
      <c r="B2" s="400"/>
      <c r="C2" s="400"/>
      <c r="D2" s="407"/>
      <c r="E2" s="407"/>
      <c r="F2" s="407"/>
      <c r="G2" s="408"/>
    </row>
    <row r="3" spans="1:13" ht="28.5" customHeight="1" x14ac:dyDescent="0.3">
      <c r="A3" s="399"/>
      <c r="B3" s="400"/>
      <c r="C3" s="400"/>
      <c r="D3" s="407"/>
      <c r="E3" s="407"/>
      <c r="F3" s="407"/>
      <c r="G3" s="408"/>
    </row>
    <row r="4" spans="1:13" ht="25.5" customHeight="1" x14ac:dyDescent="0.3">
      <c r="A4" s="399"/>
      <c r="B4" s="400"/>
      <c r="C4" s="400"/>
      <c r="D4" s="407"/>
      <c r="E4" s="407"/>
      <c r="F4" s="407"/>
      <c r="G4" s="408"/>
    </row>
    <row r="5" spans="1:13" ht="27.75" customHeight="1" thickBot="1" x14ac:dyDescent="0.35">
      <c r="A5" s="402"/>
      <c r="B5" s="403"/>
      <c r="C5" s="403"/>
      <c r="D5" s="387"/>
      <c r="E5" s="387"/>
      <c r="F5" s="387"/>
      <c r="G5" s="409"/>
    </row>
    <row r="7" spans="1:13" ht="15.6" x14ac:dyDescent="0.3">
      <c r="A7" s="146" t="s">
        <v>263</v>
      </c>
      <c r="B7" s="148"/>
      <c r="C7" s="148"/>
    </row>
    <row r="9" spans="1:13" ht="15.6" x14ac:dyDescent="0.3">
      <c r="A9" s="146" t="s">
        <v>460</v>
      </c>
    </row>
    <row r="10" spans="1:13" ht="28.8" x14ac:dyDescent="0.3">
      <c r="A10" s="149" t="s">
        <v>277</v>
      </c>
      <c r="B10" s="150" t="s">
        <v>278</v>
      </c>
      <c r="C10" s="150" t="s">
        <v>298</v>
      </c>
      <c r="D10" s="150" t="s">
        <v>3</v>
      </c>
    </row>
    <row r="11" spans="1:13" x14ac:dyDescent="0.3">
      <c r="A11" s="121" t="s">
        <v>279</v>
      </c>
      <c r="B11" s="109"/>
      <c r="C11" s="151" t="s">
        <v>294</v>
      </c>
      <c r="D11" s="154"/>
      <c r="M11" s="14"/>
    </row>
    <row r="12" spans="1:13" x14ac:dyDescent="0.3">
      <c r="A12" s="121" t="s">
        <v>455</v>
      </c>
      <c r="B12" s="109"/>
      <c r="C12" s="151" t="s">
        <v>294</v>
      </c>
      <c r="D12" s="154"/>
      <c r="M12" s="14"/>
    </row>
    <row r="13" spans="1:13" x14ac:dyDescent="0.3">
      <c r="A13" s="121" t="s">
        <v>280</v>
      </c>
      <c r="B13" s="109"/>
      <c r="C13" s="151" t="s">
        <v>294</v>
      </c>
      <c r="D13" s="154"/>
      <c r="M13" s="14"/>
    </row>
    <row r="14" spans="1:13" x14ac:dyDescent="0.3">
      <c r="A14" s="121" t="s">
        <v>456</v>
      </c>
      <c r="B14" s="109"/>
      <c r="C14" s="151" t="s">
        <v>294</v>
      </c>
      <c r="D14" s="154"/>
      <c r="M14" s="14"/>
    </row>
    <row r="15" spans="1:13" x14ac:dyDescent="0.3">
      <c r="A15" s="121" t="s">
        <v>283</v>
      </c>
      <c r="B15" s="109"/>
      <c r="C15" s="151" t="s">
        <v>294</v>
      </c>
      <c r="D15" s="154"/>
      <c r="M15" s="15"/>
    </row>
    <row r="16" spans="1:13" x14ac:dyDescent="0.3">
      <c r="A16" s="121" t="s">
        <v>285</v>
      </c>
      <c r="B16" s="109"/>
      <c r="C16" s="151" t="s">
        <v>295</v>
      </c>
      <c r="D16" s="154"/>
      <c r="M16" s="15"/>
    </row>
    <row r="17" spans="1:16" x14ac:dyDescent="0.3">
      <c r="A17" s="121" t="s">
        <v>281</v>
      </c>
      <c r="B17" s="109"/>
      <c r="C17" s="151" t="s">
        <v>295</v>
      </c>
      <c r="D17" s="154"/>
      <c r="M17" s="15"/>
    </row>
    <row r="18" spans="1:16" x14ac:dyDescent="0.3">
      <c r="A18" s="121" t="s">
        <v>282</v>
      </c>
      <c r="B18" s="109"/>
      <c r="C18" s="151" t="s">
        <v>295</v>
      </c>
      <c r="D18" s="154"/>
      <c r="M18" s="14"/>
    </row>
    <row r="19" spans="1:16" x14ac:dyDescent="0.3">
      <c r="A19" s="121" t="s">
        <v>284</v>
      </c>
      <c r="B19" s="109"/>
      <c r="C19" s="151" t="s">
        <v>295</v>
      </c>
      <c r="D19" s="154"/>
      <c r="M19" s="14"/>
      <c r="O19" s="15"/>
    </row>
    <row r="20" spans="1:16" x14ac:dyDescent="0.3">
      <c r="A20" s="121" t="s">
        <v>286</v>
      </c>
      <c r="B20" s="109"/>
      <c r="C20" s="151" t="s">
        <v>294</v>
      </c>
      <c r="D20" s="154"/>
      <c r="M20" s="14"/>
    </row>
    <row r="21" spans="1:16" x14ac:dyDescent="0.3">
      <c r="A21" s="121" t="s">
        <v>457</v>
      </c>
      <c r="B21" s="109"/>
      <c r="C21" s="151" t="s">
        <v>294</v>
      </c>
      <c r="D21" s="154"/>
      <c r="G21" s="13" t="s">
        <v>297</v>
      </c>
      <c r="N21" s="13" t="s">
        <v>297</v>
      </c>
    </row>
    <row r="22" spans="1:16" x14ac:dyDescent="0.3">
      <c r="A22" s="121" t="s">
        <v>287</v>
      </c>
      <c r="B22" s="109"/>
      <c r="C22" s="151" t="s">
        <v>294</v>
      </c>
      <c r="D22" s="154"/>
      <c r="G22" s="157" t="s">
        <v>19</v>
      </c>
      <c r="H22" s="158" t="e">
        <f>B33</f>
        <v>#DIV/0!</v>
      </c>
      <c r="N22" s="174" t="s">
        <v>368</v>
      </c>
      <c r="O22" s="158" t="e">
        <f>(B16+B17+B18+B19+B25+B26+B27+B28)/(B11+B12+B13+B14+B15+B16+B17+B18+B19+B20+B21+B22+B23+B24+B25+B26+B27+B28)</f>
        <v>#DIV/0!</v>
      </c>
    </row>
    <row r="23" spans="1:16" x14ac:dyDescent="0.3">
      <c r="A23" s="121" t="s">
        <v>458</v>
      </c>
      <c r="B23" s="109"/>
      <c r="C23" s="151" t="s">
        <v>294</v>
      </c>
      <c r="D23" s="154"/>
      <c r="G23" s="13" t="s">
        <v>21</v>
      </c>
      <c r="H23" s="158" t="e">
        <f>1-H22</f>
        <v>#DIV/0!</v>
      </c>
      <c r="N23" s="13" t="s">
        <v>369</v>
      </c>
      <c r="O23" s="158" t="e">
        <f>1-O22-O24</f>
        <v>#DIV/0!</v>
      </c>
    </row>
    <row r="24" spans="1:16" x14ac:dyDescent="0.3">
      <c r="A24" s="121" t="s">
        <v>288</v>
      </c>
      <c r="B24" s="109"/>
      <c r="C24" s="151" t="s">
        <v>294</v>
      </c>
      <c r="D24" s="154"/>
      <c r="M24" s="14"/>
      <c r="N24" s="13" t="s">
        <v>367</v>
      </c>
      <c r="O24" s="158" t="e">
        <f>(B11+B12+B13+B14+B20+B21+B22+B23)/(B11+B12+B13+B14+B15+B16+B17+B18+B19+B20+B21+B22+B23+B24+B25+B26+B27+B28)</f>
        <v>#DIV/0!</v>
      </c>
      <c r="P24" s="175"/>
    </row>
    <row r="25" spans="1:16" x14ac:dyDescent="0.3">
      <c r="A25" s="121" t="s">
        <v>289</v>
      </c>
      <c r="B25" s="109"/>
      <c r="C25" s="151" t="s">
        <v>295</v>
      </c>
      <c r="D25" s="154"/>
      <c r="M25" s="14"/>
    </row>
    <row r="26" spans="1:16" x14ac:dyDescent="0.3">
      <c r="A26" s="121" t="s">
        <v>290</v>
      </c>
      <c r="B26" s="109"/>
      <c r="C26" s="151" t="s">
        <v>295</v>
      </c>
      <c r="D26" s="154"/>
      <c r="M26" s="14"/>
    </row>
    <row r="27" spans="1:16" x14ac:dyDescent="0.3">
      <c r="A27" s="121" t="s">
        <v>291</v>
      </c>
      <c r="B27" s="278"/>
      <c r="C27" s="151" t="s">
        <v>295</v>
      </c>
      <c r="D27" s="154"/>
      <c r="M27" s="14"/>
    </row>
    <row r="28" spans="1:16" x14ac:dyDescent="0.3">
      <c r="A28" s="121" t="s">
        <v>292</v>
      </c>
      <c r="B28" s="278"/>
      <c r="C28" s="151" t="s">
        <v>295</v>
      </c>
      <c r="D28" s="154"/>
      <c r="H28" s="156"/>
      <c r="M28" s="14"/>
    </row>
    <row r="29" spans="1:16" x14ac:dyDescent="0.3">
      <c r="A29" s="121"/>
      <c r="B29" s="121"/>
      <c r="C29" s="121"/>
      <c r="D29" s="154"/>
    </row>
    <row r="30" spans="1:16" x14ac:dyDescent="0.3">
      <c r="A30" s="279" t="s">
        <v>299</v>
      </c>
      <c r="B30" s="152">
        <f>B11+B12+B13+B14+B15+B20+B21+B22+B23+B24</f>
        <v>0</v>
      </c>
      <c r="C30" s="121"/>
      <c r="D30" s="154"/>
    </row>
    <row r="31" spans="1:16" ht="15" thickBot="1" x14ac:dyDescent="0.35">
      <c r="A31" s="160" t="s">
        <v>296</v>
      </c>
      <c r="B31" s="161">
        <f>B16+B17+B18+B19+B25+B26+B27+B28</f>
        <v>0</v>
      </c>
      <c r="C31" s="162"/>
      <c r="D31" s="165"/>
    </row>
    <row r="32" spans="1:16" ht="15.6" thickTop="1" thickBot="1" x14ac:dyDescent="0.35">
      <c r="A32" s="121"/>
      <c r="B32" s="121"/>
      <c r="C32" s="121"/>
    </row>
    <row r="33" spans="1:10" ht="15" thickBot="1" x14ac:dyDescent="0.35">
      <c r="A33" s="166" t="s">
        <v>366</v>
      </c>
      <c r="B33" s="168" t="e">
        <f>B31/(B30+B31)</f>
        <v>#DIV/0!</v>
      </c>
    </row>
    <row r="34" spans="1:10" x14ac:dyDescent="0.3">
      <c r="D34" s="121"/>
      <c r="E34" s="121"/>
      <c r="F34" s="121"/>
    </row>
    <row r="35" spans="1:10" x14ac:dyDescent="0.3">
      <c r="D35" s="121"/>
      <c r="E35" s="121"/>
      <c r="F35" s="121"/>
    </row>
    <row r="36" spans="1:10" x14ac:dyDescent="0.3">
      <c r="A36" s="169" t="s">
        <v>293</v>
      </c>
    </row>
    <row r="37" spans="1:10" x14ac:dyDescent="0.3">
      <c r="D37" s="121"/>
      <c r="E37" s="121"/>
      <c r="F37" s="121"/>
    </row>
    <row r="38" spans="1:10" x14ac:dyDescent="0.3">
      <c r="D38" s="121"/>
      <c r="E38" s="121"/>
      <c r="F38" s="121"/>
    </row>
    <row r="39" spans="1:10" x14ac:dyDescent="0.3">
      <c r="D39" s="121"/>
      <c r="E39" s="121"/>
      <c r="F39" s="121"/>
    </row>
    <row r="40" spans="1:10" ht="15.6" x14ac:dyDescent="0.3">
      <c r="A40" s="146"/>
      <c r="D40" s="121"/>
      <c r="E40" s="121"/>
      <c r="F40" s="121"/>
    </row>
    <row r="41" spans="1:10" x14ac:dyDescent="0.3">
      <c r="C41" s="180"/>
      <c r="J41" s="14"/>
    </row>
    <row r="42" spans="1:10" x14ac:dyDescent="0.3">
      <c r="J42" s="14"/>
    </row>
    <row r="45" spans="1:10" ht="17.25" customHeight="1" x14ac:dyDescent="0.3"/>
    <row r="46" spans="1:10" ht="15" customHeight="1" x14ac:dyDescent="0.3"/>
    <row r="47" spans="1:10" ht="17.25" customHeight="1" x14ac:dyDescent="0.3"/>
    <row r="48" spans="1:10" ht="17.25" customHeight="1" x14ac:dyDescent="0.3">
      <c r="A48" s="199"/>
    </row>
  </sheetData>
  <mergeCells count="1">
    <mergeCell ref="A1:G5"/>
  </mergeCells>
  <pageMargins left="0.7" right="0.7" top="0.75" bottom="0.75" header="0.3" footer="0.3"/>
  <pageSetup paperSize="9" scale="46"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6682-6664-40E5-8969-EF4883CBEF0F}">
  <dimension ref="A1:C4"/>
  <sheetViews>
    <sheetView workbookViewId="0">
      <selection activeCell="E9" sqref="E9"/>
    </sheetView>
  </sheetViews>
  <sheetFormatPr defaultRowHeight="14.4" x14ac:dyDescent="0.3"/>
  <cols>
    <col min="1" max="1" width="35.77734375" customWidth="1"/>
    <col min="2" max="2" width="40.5546875" customWidth="1"/>
  </cols>
  <sheetData>
    <row r="1" spans="1:3" s="27" customFormat="1" ht="31.2" x14ac:dyDescent="0.6">
      <c r="A1" s="27" t="s">
        <v>170</v>
      </c>
      <c r="B1" s="99" t="s">
        <v>171</v>
      </c>
      <c r="C1" s="98" t="s">
        <v>172</v>
      </c>
    </row>
    <row r="2" spans="1:3" x14ac:dyDescent="0.3">
      <c r="A2" t="s">
        <v>459</v>
      </c>
    </row>
    <row r="4" spans="1:3" x14ac:dyDescent="0.3">
      <c r="A4" t="s">
        <v>181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E0F02-C044-4FE0-AA3F-6CEDF14A0AE6}">
  <sheetPr>
    <tabColor rgb="FFFF0000"/>
  </sheetPr>
  <dimension ref="B1:W19"/>
  <sheetViews>
    <sheetView zoomScale="70" zoomScaleNormal="70" workbookViewId="0">
      <selection activeCell="G14" sqref="G14"/>
    </sheetView>
  </sheetViews>
  <sheetFormatPr defaultRowHeight="14.4" x14ac:dyDescent="0.3"/>
  <cols>
    <col min="1" max="1" width="3.44140625" customWidth="1"/>
    <col min="2" max="2" width="65.33203125" customWidth="1"/>
    <col min="3" max="3" width="12.5546875" customWidth="1"/>
    <col min="4" max="4" width="18.33203125" customWidth="1"/>
    <col min="5" max="5" width="13.6640625" customWidth="1"/>
    <col min="6" max="6" width="24.33203125" customWidth="1"/>
    <col min="7" max="7" width="19.5546875" customWidth="1"/>
  </cols>
  <sheetData>
    <row r="1" spans="2:23" s="27" customFormat="1" ht="31.2" x14ac:dyDescent="0.6">
      <c r="B1" s="27" t="s">
        <v>169</v>
      </c>
    </row>
    <row r="2" spans="2:23" ht="16.5" customHeight="1" x14ac:dyDescent="0.3">
      <c r="B2" s="4" t="s">
        <v>1</v>
      </c>
      <c r="C2" s="4"/>
      <c r="H2" s="2"/>
      <c r="L2" s="2"/>
      <c r="P2" s="2"/>
      <c r="Q2" s="2"/>
      <c r="W2" s="3"/>
    </row>
    <row r="3" spans="2:23" ht="16.5" customHeight="1" x14ac:dyDescent="0.3">
      <c r="B3" s="21" t="s">
        <v>113</v>
      </c>
      <c r="C3" s="21"/>
      <c r="H3" s="2"/>
      <c r="L3" s="2"/>
      <c r="P3" s="2"/>
      <c r="Q3" s="2"/>
      <c r="W3" s="3"/>
    </row>
    <row r="5" spans="2:23" ht="56.25" customHeight="1" x14ac:dyDescent="0.4">
      <c r="B5" s="200" t="s">
        <v>236</v>
      </c>
      <c r="C5" s="201" t="s">
        <v>131</v>
      </c>
      <c r="D5" s="202" t="s">
        <v>173</v>
      </c>
      <c r="E5" s="202" t="s">
        <v>30</v>
      </c>
      <c r="F5" s="202" t="s">
        <v>77</v>
      </c>
      <c r="G5" s="202" t="s">
        <v>176</v>
      </c>
    </row>
    <row r="6" spans="2:23" x14ac:dyDescent="0.3">
      <c r="B6" s="203" t="s">
        <v>133</v>
      </c>
      <c r="C6" s="100">
        <v>1</v>
      </c>
      <c r="D6" s="204">
        <v>0</v>
      </c>
      <c r="E6" s="205">
        <f t="shared" ref="E6:E7" si="0">D6/1000</f>
        <v>0</v>
      </c>
      <c r="F6" s="206"/>
      <c r="G6" s="207" t="s">
        <v>174</v>
      </c>
    </row>
    <row r="7" spans="2:23" x14ac:dyDescent="0.3">
      <c r="B7" s="208" t="s">
        <v>136</v>
      </c>
      <c r="C7" s="100">
        <v>1</v>
      </c>
      <c r="D7" s="204">
        <v>0</v>
      </c>
      <c r="E7" s="205">
        <f t="shared" si="0"/>
        <v>0</v>
      </c>
      <c r="F7" s="206"/>
      <c r="G7" s="207" t="s">
        <v>174</v>
      </c>
    </row>
    <row r="8" spans="2:23" x14ac:dyDescent="0.3">
      <c r="B8" s="208" t="s">
        <v>137</v>
      </c>
      <c r="C8" s="100">
        <v>1</v>
      </c>
      <c r="D8" s="204">
        <v>0</v>
      </c>
      <c r="E8" s="205">
        <f>D8/1000</f>
        <v>0</v>
      </c>
      <c r="F8" s="206"/>
      <c r="G8" s="207" t="s">
        <v>174</v>
      </c>
    </row>
    <row r="9" spans="2:23" x14ac:dyDescent="0.3">
      <c r="B9" s="208" t="s">
        <v>435</v>
      </c>
      <c r="C9" s="209">
        <v>0.4531</v>
      </c>
      <c r="D9" s="262">
        <v>365.27</v>
      </c>
      <c r="E9" s="205">
        <f>D9/1000</f>
        <v>0.36526999999999998</v>
      </c>
      <c r="F9" s="206" t="s">
        <v>437</v>
      </c>
      <c r="G9" s="207" t="s">
        <v>436</v>
      </c>
    </row>
    <row r="10" spans="2:23" x14ac:dyDescent="0.3">
      <c r="B10" s="208" t="s">
        <v>175</v>
      </c>
      <c r="C10" s="209">
        <v>0</v>
      </c>
      <c r="D10" s="262">
        <f>259.24*4</f>
        <v>1036.96</v>
      </c>
      <c r="E10" s="205">
        <f>D10/1000</f>
        <v>1.0369600000000001</v>
      </c>
      <c r="F10" s="206" t="s">
        <v>177</v>
      </c>
      <c r="G10" s="207" t="s">
        <v>439</v>
      </c>
    </row>
    <row r="11" spans="2:23" ht="21" x14ac:dyDescent="0.4">
      <c r="B11" s="101" t="s">
        <v>178</v>
      </c>
      <c r="C11" s="210"/>
      <c r="D11" s="211"/>
      <c r="E11" s="210"/>
      <c r="F11" s="212"/>
      <c r="G11" s="213"/>
    </row>
    <row r="12" spans="2:23" x14ac:dyDescent="0.3">
      <c r="B12" s="102" t="s">
        <v>145</v>
      </c>
      <c r="C12" s="103">
        <v>0</v>
      </c>
      <c r="D12" s="261">
        <v>274.34879999999998</v>
      </c>
      <c r="E12" s="214">
        <f>D12/1000</f>
        <v>0.2743488</v>
      </c>
      <c r="F12" s="215"/>
      <c r="G12" s="204" t="s">
        <v>438</v>
      </c>
    </row>
    <row r="13" spans="2:23" x14ac:dyDescent="0.3">
      <c r="B13" s="102" t="s">
        <v>147</v>
      </c>
      <c r="C13" s="103">
        <v>0</v>
      </c>
      <c r="D13" s="261">
        <v>204.80796000000001</v>
      </c>
      <c r="E13" s="214">
        <f>D13/1000</f>
        <v>0.20480796000000001</v>
      </c>
      <c r="F13" s="215"/>
      <c r="G13" s="204" t="s">
        <v>440</v>
      </c>
    </row>
    <row r="14" spans="2:23" x14ac:dyDescent="0.3">
      <c r="B14" s="102" t="s">
        <v>148</v>
      </c>
      <c r="C14" s="103">
        <v>1</v>
      </c>
      <c r="D14" s="133">
        <v>0</v>
      </c>
      <c r="E14" s="214">
        <v>0</v>
      </c>
      <c r="F14" s="215"/>
      <c r="G14" s="204" t="s">
        <v>184</v>
      </c>
    </row>
    <row r="15" spans="2:23" x14ac:dyDescent="0.3">
      <c r="B15" s="102" t="s">
        <v>149</v>
      </c>
      <c r="C15" s="103">
        <v>1</v>
      </c>
      <c r="D15" s="133">
        <v>0</v>
      </c>
      <c r="E15" s="214">
        <v>0</v>
      </c>
      <c r="F15" s="215"/>
      <c r="G15" s="204" t="s">
        <v>184</v>
      </c>
    </row>
    <row r="16" spans="2:23" x14ac:dyDescent="0.3">
      <c r="B16" s="102" t="s">
        <v>150</v>
      </c>
      <c r="C16" s="103">
        <v>1</v>
      </c>
      <c r="D16" s="133">
        <v>0</v>
      </c>
      <c r="E16" s="214">
        <v>0</v>
      </c>
      <c r="F16" s="215"/>
      <c r="G16" s="204" t="s">
        <v>184</v>
      </c>
    </row>
    <row r="17" spans="2:7" x14ac:dyDescent="0.3">
      <c r="B17" s="102" t="s">
        <v>151</v>
      </c>
      <c r="C17" s="103">
        <v>1</v>
      </c>
      <c r="D17" s="133">
        <v>0</v>
      </c>
      <c r="E17" s="214">
        <v>0</v>
      </c>
      <c r="F17" s="215"/>
      <c r="G17" s="204" t="s">
        <v>184</v>
      </c>
    </row>
    <row r="18" spans="2:7" x14ac:dyDescent="0.3">
      <c r="B18" s="102" t="s">
        <v>179</v>
      </c>
      <c r="C18" s="103">
        <v>1</v>
      </c>
      <c r="D18" s="216">
        <v>0</v>
      </c>
      <c r="E18" s="215">
        <v>0</v>
      </c>
      <c r="F18" s="215"/>
      <c r="G18" s="204" t="s">
        <v>183</v>
      </c>
    </row>
    <row r="19" spans="2:7" x14ac:dyDescent="0.3">
      <c r="B19" s="102" t="s">
        <v>180</v>
      </c>
      <c r="C19" s="103">
        <v>1</v>
      </c>
      <c r="D19" s="133">
        <v>0</v>
      </c>
      <c r="E19" s="215">
        <v>0</v>
      </c>
      <c r="F19" s="215"/>
      <c r="G19" s="204" t="s">
        <v>182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525A6-3D99-43D7-A865-E6039DC6AC35}">
  <sheetPr>
    <tabColor rgb="FFFF0000"/>
  </sheetPr>
  <dimension ref="B1:W101"/>
  <sheetViews>
    <sheetView topLeftCell="A88" zoomScale="70" zoomScaleNormal="70" workbookViewId="0">
      <selection activeCell="M91" sqref="M91"/>
    </sheetView>
  </sheetViews>
  <sheetFormatPr defaultRowHeight="14.4" x14ac:dyDescent="0.3"/>
  <cols>
    <col min="1" max="1" width="2.44140625" customWidth="1"/>
    <col min="2" max="2" width="30" customWidth="1"/>
    <col min="3" max="3" width="14.6640625" customWidth="1"/>
    <col min="4" max="4" width="21.33203125" customWidth="1"/>
    <col min="5" max="5" width="18.44140625" customWidth="1"/>
    <col min="6" max="6" width="20.6640625" customWidth="1"/>
    <col min="7" max="7" width="22.6640625" customWidth="1"/>
    <col min="8" max="8" width="17.109375" customWidth="1"/>
    <col min="9" max="9" width="18.33203125" customWidth="1"/>
    <col min="10" max="10" width="18.44140625" customWidth="1"/>
    <col min="11" max="11" width="18.88671875" customWidth="1"/>
    <col min="12" max="12" width="11.33203125" customWidth="1"/>
    <col min="13" max="14" width="15.6640625" customWidth="1"/>
    <col min="15" max="16" width="33.33203125" customWidth="1"/>
    <col min="17" max="17" width="17" customWidth="1"/>
    <col min="20" max="20" width="21.6640625" customWidth="1"/>
    <col min="21" max="21" width="22.33203125" customWidth="1"/>
    <col min="22" max="22" width="11.44140625" customWidth="1"/>
    <col min="25" max="25" width="18.5546875" customWidth="1"/>
    <col min="26" max="26" width="17.5546875" customWidth="1"/>
    <col min="28" max="28" width="16.5546875" customWidth="1"/>
    <col min="29" max="29" width="11.44140625" customWidth="1"/>
  </cols>
  <sheetData>
    <row r="1" spans="2:23" s="27" customFormat="1" ht="31.2" x14ac:dyDescent="0.6">
      <c r="B1" s="27" t="s">
        <v>49</v>
      </c>
    </row>
    <row r="2" spans="2:23" ht="16.5" customHeight="1" x14ac:dyDescent="0.3">
      <c r="B2" s="4" t="s">
        <v>1</v>
      </c>
      <c r="G2" s="2"/>
      <c r="K2" s="2"/>
      <c r="O2" s="2"/>
      <c r="P2" s="2"/>
      <c r="V2" s="3"/>
    </row>
    <row r="3" spans="2:23" ht="16.5" customHeight="1" x14ac:dyDescent="0.3">
      <c r="B3" s="21" t="s">
        <v>113</v>
      </c>
      <c r="G3" s="2"/>
      <c r="K3" s="2"/>
      <c r="O3" s="2"/>
      <c r="P3" s="2"/>
      <c r="V3" s="3"/>
    </row>
    <row r="4" spans="2:23" ht="16.5" customHeight="1" x14ac:dyDescent="0.3">
      <c r="B4" s="371" t="s">
        <v>463</v>
      </c>
      <c r="G4" s="2"/>
      <c r="K4" s="2"/>
      <c r="O4" s="2"/>
      <c r="P4" s="2"/>
      <c r="V4" s="339"/>
    </row>
    <row r="5" spans="2:23" ht="12" customHeight="1" x14ac:dyDescent="0.3">
      <c r="B5" s="3"/>
      <c r="G5" s="2"/>
      <c r="K5" s="2"/>
      <c r="O5" s="2"/>
      <c r="P5" s="2"/>
      <c r="V5" s="3"/>
    </row>
    <row r="6" spans="2:23" ht="43.8" customHeight="1" x14ac:dyDescent="0.3">
      <c r="B6" s="273" t="s">
        <v>6</v>
      </c>
      <c r="C6" s="272" t="s">
        <v>8</v>
      </c>
      <c r="D6" s="272" t="s">
        <v>118</v>
      </c>
      <c r="E6" s="272" t="s">
        <v>119</v>
      </c>
      <c r="F6" s="272" t="s">
        <v>30</v>
      </c>
      <c r="G6" s="272" t="s">
        <v>10</v>
      </c>
      <c r="H6" s="272" t="s">
        <v>264</v>
      </c>
      <c r="I6" s="272" t="s">
        <v>265</v>
      </c>
      <c r="J6" s="272" t="s">
        <v>266</v>
      </c>
      <c r="K6" s="272" t="s">
        <v>267</v>
      </c>
      <c r="L6" s="2"/>
      <c r="P6" s="2"/>
      <c r="Q6" s="2"/>
      <c r="W6" s="3"/>
    </row>
    <row r="7" spans="2:23" ht="16.5" customHeight="1" x14ac:dyDescent="0.3">
      <c r="B7" s="276" t="s">
        <v>432</v>
      </c>
      <c r="C7" s="359">
        <f>31.65/3.6</f>
        <v>8.7916666666666661</v>
      </c>
      <c r="D7" s="38"/>
      <c r="E7" s="38">
        <v>89.6</v>
      </c>
      <c r="F7" s="360">
        <f>E7*3.6/1000</f>
        <v>0.32256000000000001</v>
      </c>
      <c r="G7" s="361">
        <v>4.2999999999999997E-2</v>
      </c>
      <c r="H7" s="38" t="s">
        <v>273</v>
      </c>
      <c r="I7" s="38" t="s">
        <v>475</v>
      </c>
      <c r="J7" s="38" t="s">
        <v>274</v>
      </c>
      <c r="K7" s="274"/>
      <c r="O7" s="2"/>
      <c r="P7" s="2"/>
      <c r="V7" s="3"/>
    </row>
    <row r="8" spans="2:23" ht="16.5" customHeight="1" x14ac:dyDescent="0.3">
      <c r="B8" s="276" t="s">
        <v>12</v>
      </c>
      <c r="C8" s="359">
        <v>8.64</v>
      </c>
      <c r="D8" s="38"/>
      <c r="E8" s="38">
        <v>87.4</v>
      </c>
      <c r="F8" s="360">
        <v>0.27300000000000002</v>
      </c>
      <c r="G8" s="361">
        <v>8.1000000000000003E-2</v>
      </c>
      <c r="H8" s="38" t="s">
        <v>272</v>
      </c>
      <c r="I8" s="38" t="s">
        <v>476</v>
      </c>
      <c r="J8" s="38" t="s">
        <v>477</v>
      </c>
      <c r="K8" s="38" t="s">
        <v>478</v>
      </c>
      <c r="O8" s="2"/>
      <c r="P8" s="2"/>
      <c r="V8" s="3"/>
    </row>
    <row r="9" spans="2:23" ht="16.5" customHeight="1" x14ac:dyDescent="0.3">
      <c r="B9" s="276" t="s">
        <v>228</v>
      </c>
      <c r="C9" s="359">
        <f>32.2/3.6</f>
        <v>8.9444444444444446</v>
      </c>
      <c r="D9" s="38"/>
      <c r="E9" s="38">
        <v>89.91</v>
      </c>
      <c r="F9" s="360">
        <f>E9*3.6/1000</f>
        <v>0.32367599999999996</v>
      </c>
      <c r="G9" s="361">
        <v>4.9000000000000002E-2</v>
      </c>
      <c r="H9" s="38" t="s">
        <v>270</v>
      </c>
      <c r="I9" s="38" t="s">
        <v>268</v>
      </c>
      <c r="J9" s="38" t="s">
        <v>269</v>
      </c>
      <c r="K9" s="274" t="s">
        <v>269</v>
      </c>
      <c r="L9" s="339"/>
      <c r="O9" s="2"/>
      <c r="P9" s="2"/>
      <c r="V9" s="3"/>
    </row>
    <row r="10" spans="2:23" ht="16.5" customHeight="1" x14ac:dyDescent="0.3">
      <c r="B10" s="276" t="s">
        <v>444</v>
      </c>
      <c r="C10" s="359">
        <f>35.3/3.6</f>
        <v>9.8055555555555554</v>
      </c>
      <c r="D10" s="38"/>
      <c r="E10" s="38">
        <v>95.1</v>
      </c>
      <c r="F10" s="360">
        <f>E10*3.6/1000</f>
        <v>0.34236</v>
      </c>
      <c r="G10" s="361">
        <v>0</v>
      </c>
      <c r="H10" s="38" t="s">
        <v>275</v>
      </c>
      <c r="I10" s="282" t="s">
        <v>307</v>
      </c>
      <c r="J10" s="282" t="s">
        <v>306</v>
      </c>
      <c r="K10" s="274" t="s">
        <v>308</v>
      </c>
      <c r="L10" s="3"/>
      <c r="O10" s="2"/>
      <c r="P10" s="2"/>
      <c r="V10" s="3"/>
    </row>
    <row r="11" spans="2:23" ht="16.5" customHeight="1" x14ac:dyDescent="0.3">
      <c r="B11" s="277" t="s">
        <v>429</v>
      </c>
      <c r="C11" s="359">
        <f>C15</f>
        <v>9.75</v>
      </c>
      <c r="D11" s="38"/>
      <c r="E11" s="38"/>
      <c r="F11" s="360">
        <f>F15</f>
        <v>0.31900000000000001</v>
      </c>
      <c r="G11" s="361">
        <f>G15</f>
        <v>6.6000000000000003E-2</v>
      </c>
      <c r="H11" s="38" t="s">
        <v>272</v>
      </c>
      <c r="I11" s="38" t="s">
        <v>430</v>
      </c>
      <c r="J11" s="38" t="s">
        <v>430</v>
      </c>
      <c r="K11" s="38" t="s">
        <v>430</v>
      </c>
      <c r="L11" s="339"/>
      <c r="O11" s="2"/>
      <c r="P11" s="2"/>
      <c r="V11" s="3"/>
    </row>
    <row r="12" spans="2:23" ht="16.5" customHeight="1" x14ac:dyDescent="0.3">
      <c r="B12" s="276" t="s">
        <v>443</v>
      </c>
      <c r="C12" s="359">
        <f>35.15/3.6</f>
        <v>9.7638888888888875</v>
      </c>
      <c r="D12" s="38"/>
      <c r="E12" s="38">
        <v>75.2</v>
      </c>
      <c r="F12" s="360">
        <f>E12*3.6/1000</f>
        <v>0.27072000000000002</v>
      </c>
      <c r="G12" s="361">
        <v>0.23899999999999999</v>
      </c>
      <c r="H12" s="38" t="s">
        <v>273</v>
      </c>
      <c r="I12" s="38" t="s">
        <v>479</v>
      </c>
      <c r="J12" s="38" t="s">
        <v>274</v>
      </c>
      <c r="K12" s="38" t="s">
        <v>479</v>
      </c>
      <c r="L12" s="339"/>
      <c r="O12" s="2"/>
      <c r="P12" s="2"/>
      <c r="V12" s="3"/>
    </row>
    <row r="13" spans="2:23" ht="16.5" customHeight="1" x14ac:dyDescent="0.3">
      <c r="B13" s="276" t="s">
        <v>197</v>
      </c>
      <c r="C13" s="359">
        <f>[1]Växthusgasutsläppomräknfaktorer!$C$48</f>
        <v>9.6388888888888893</v>
      </c>
      <c r="D13" s="38"/>
      <c r="E13" s="38">
        <v>60.781599999999997</v>
      </c>
      <c r="F13" s="360">
        <f>E13*3.6/1000</f>
        <v>0.21881376</v>
      </c>
      <c r="G13" s="361">
        <v>0.41399999999999998</v>
      </c>
      <c r="H13" s="38" t="s">
        <v>273</v>
      </c>
      <c r="I13" s="38" t="s">
        <v>480</v>
      </c>
      <c r="J13" s="38" t="s">
        <v>481</v>
      </c>
      <c r="K13" s="274" t="s">
        <v>482</v>
      </c>
      <c r="O13" s="2"/>
      <c r="P13" s="2"/>
      <c r="V13" s="3"/>
    </row>
    <row r="14" spans="2:23" ht="16.5" customHeight="1" x14ac:dyDescent="0.3">
      <c r="B14" s="276" t="s">
        <v>13</v>
      </c>
      <c r="C14" s="359">
        <v>9.67</v>
      </c>
      <c r="D14" s="38"/>
      <c r="E14" s="38"/>
      <c r="F14" s="360">
        <v>0.245</v>
      </c>
      <c r="G14" s="361">
        <v>0.29199999999999998</v>
      </c>
      <c r="H14" s="38" t="s">
        <v>272</v>
      </c>
      <c r="I14" s="38" t="s">
        <v>476</v>
      </c>
      <c r="J14" s="38" t="s">
        <v>483</v>
      </c>
      <c r="K14" s="38" t="s">
        <v>484</v>
      </c>
      <c r="O14" s="2"/>
      <c r="P14" s="2"/>
      <c r="V14" s="3"/>
    </row>
    <row r="15" spans="2:23" ht="16.5" customHeight="1" x14ac:dyDescent="0.3">
      <c r="B15" s="276" t="s">
        <v>314</v>
      </c>
      <c r="C15" s="342">
        <v>9.75</v>
      </c>
      <c r="D15" s="38"/>
      <c r="E15" s="38"/>
      <c r="F15" s="51">
        <v>0.31900000000000001</v>
      </c>
      <c r="G15" s="324">
        <v>6.6000000000000003E-2</v>
      </c>
      <c r="H15" s="38" t="s">
        <v>272</v>
      </c>
      <c r="I15" s="38" t="s">
        <v>476</v>
      </c>
      <c r="J15" s="38" t="s">
        <v>485</v>
      </c>
      <c r="K15" s="38" t="s">
        <v>476</v>
      </c>
      <c r="O15" s="2"/>
      <c r="P15" s="2"/>
      <c r="V15" s="3"/>
    </row>
    <row r="16" spans="2:23" ht="16.5" customHeight="1" x14ac:dyDescent="0.3">
      <c r="B16" s="276" t="s">
        <v>317</v>
      </c>
      <c r="C16" s="275">
        <v>9.81</v>
      </c>
      <c r="D16" s="38"/>
      <c r="E16" s="38"/>
      <c r="F16" s="50">
        <v>0.33600000000000002</v>
      </c>
      <c r="G16" s="265">
        <v>0</v>
      </c>
      <c r="H16" s="38" t="s">
        <v>272</v>
      </c>
      <c r="I16" s="38" t="s">
        <v>313</v>
      </c>
      <c r="J16" s="38" t="s">
        <v>315</v>
      </c>
      <c r="K16" s="38" t="s">
        <v>316</v>
      </c>
      <c r="O16" s="2"/>
      <c r="P16" s="2"/>
      <c r="V16" s="3"/>
    </row>
    <row r="17" spans="2:22" ht="16.5" customHeight="1" x14ac:dyDescent="0.3">
      <c r="B17" s="276" t="s">
        <v>200</v>
      </c>
      <c r="C17" s="359">
        <f>34.9/3.6</f>
        <v>9.6944444444444446</v>
      </c>
      <c r="D17" s="38"/>
      <c r="E17" s="38">
        <v>72.72</v>
      </c>
      <c r="F17" s="360">
        <f t="shared" ref="F17" si="0">E17*3.6/1000</f>
        <v>0.26179200000000002</v>
      </c>
      <c r="G17" s="361">
        <v>0.26250000000000001</v>
      </c>
      <c r="H17" s="38" t="s">
        <v>270</v>
      </c>
      <c r="I17" s="38" t="s">
        <v>268</v>
      </c>
      <c r="J17" s="38" t="s">
        <v>269</v>
      </c>
      <c r="K17" s="274" t="s">
        <v>269</v>
      </c>
      <c r="O17" s="2"/>
      <c r="P17" s="2"/>
      <c r="V17" s="3"/>
    </row>
    <row r="18" spans="2:22" ht="16.5" customHeight="1" x14ac:dyDescent="0.3">
      <c r="B18" s="276" t="s">
        <v>271</v>
      </c>
      <c r="C18" s="359">
        <f>34.9/3.6</f>
        <v>9.6944444444444446</v>
      </c>
      <c r="D18" s="38"/>
      <c r="E18" s="38">
        <v>69.59</v>
      </c>
      <c r="F18" s="360">
        <f>E18*3.6/1000</f>
        <v>0.25052400000000002</v>
      </c>
      <c r="G18" s="361">
        <v>0.4027</v>
      </c>
      <c r="H18" s="38" t="s">
        <v>270</v>
      </c>
      <c r="I18" s="38" t="s">
        <v>268</v>
      </c>
      <c r="J18" s="38" t="s">
        <v>269</v>
      </c>
      <c r="K18" s="274" t="s">
        <v>269</v>
      </c>
      <c r="O18" s="2"/>
      <c r="P18" s="2"/>
      <c r="V18" s="3"/>
    </row>
    <row r="19" spans="2:22" ht="16.5" customHeight="1" x14ac:dyDescent="0.3">
      <c r="B19" s="276" t="s">
        <v>14</v>
      </c>
      <c r="C19" s="359">
        <f>E37</f>
        <v>9.44</v>
      </c>
      <c r="D19" s="38"/>
      <c r="E19" s="38"/>
      <c r="F19" s="360">
        <f>D79</f>
        <v>7.2999999999999995E-2</v>
      </c>
      <c r="G19" s="361">
        <f>C66</f>
        <v>1</v>
      </c>
      <c r="H19" s="38" t="s">
        <v>275</v>
      </c>
      <c r="I19" s="38" t="s">
        <v>302</v>
      </c>
      <c r="J19" s="38" t="s">
        <v>365</v>
      </c>
      <c r="K19" s="38" t="s">
        <v>365</v>
      </c>
      <c r="O19" s="2"/>
      <c r="P19" s="2"/>
      <c r="V19" s="3"/>
    </row>
    <row r="20" spans="2:22" ht="16.5" customHeight="1" x14ac:dyDescent="0.3">
      <c r="B20" s="276" t="s">
        <v>15</v>
      </c>
      <c r="C20" s="359">
        <f>E36</f>
        <v>9.17</v>
      </c>
      <c r="D20" s="38"/>
      <c r="E20" s="38"/>
      <c r="F20" s="360">
        <f>D80</f>
        <v>0.11799999999999999</v>
      </c>
      <c r="G20" s="361">
        <f>C67</f>
        <v>1</v>
      </c>
      <c r="H20" s="38" t="s">
        <v>275</v>
      </c>
      <c r="I20" s="38" t="s">
        <v>302</v>
      </c>
      <c r="J20" s="38" t="s">
        <v>365</v>
      </c>
      <c r="K20" s="38" t="s">
        <v>365</v>
      </c>
      <c r="O20" s="2"/>
      <c r="P20" s="2"/>
      <c r="V20" s="3"/>
    </row>
    <row r="21" spans="2:22" ht="16.5" customHeight="1" x14ac:dyDescent="0.3">
      <c r="B21" s="276" t="s">
        <v>16</v>
      </c>
      <c r="C21" s="359">
        <f>E40</f>
        <v>6.4550000000000001</v>
      </c>
      <c r="D21" s="38"/>
      <c r="E21" s="38"/>
      <c r="F21" s="360">
        <f>D81</f>
        <v>0.17499999999999999</v>
      </c>
      <c r="G21" s="361">
        <f>C68</f>
        <v>0.73</v>
      </c>
      <c r="H21" s="38" t="s">
        <v>275</v>
      </c>
      <c r="I21" s="38" t="s">
        <v>302</v>
      </c>
      <c r="J21" s="38" t="s">
        <v>365</v>
      </c>
      <c r="K21" s="38" t="s">
        <v>365</v>
      </c>
      <c r="O21" s="2"/>
      <c r="P21" s="2"/>
      <c r="V21" s="3"/>
    </row>
    <row r="22" spans="2:22" ht="16.5" customHeight="1" x14ac:dyDescent="0.3">
      <c r="B22" s="276" t="s">
        <v>18</v>
      </c>
      <c r="C22" s="359">
        <f>E39</f>
        <v>13.25</v>
      </c>
      <c r="D22" s="38"/>
      <c r="E22" s="38"/>
      <c r="F22" s="360">
        <f>F99</f>
        <v>0.25452000000000002</v>
      </c>
      <c r="G22" s="361">
        <v>0</v>
      </c>
      <c r="H22" s="38" t="s">
        <v>275</v>
      </c>
      <c r="I22" s="38" t="s">
        <v>302</v>
      </c>
      <c r="J22" s="38" t="s">
        <v>303</v>
      </c>
      <c r="K22" s="274"/>
      <c r="O22" s="2"/>
      <c r="P22" s="2"/>
      <c r="V22" s="3"/>
    </row>
    <row r="23" spans="2:22" ht="16.5" customHeight="1" x14ac:dyDescent="0.3">
      <c r="B23" s="276" t="s">
        <v>20</v>
      </c>
      <c r="C23" s="359">
        <f>E38</f>
        <v>12.93</v>
      </c>
      <c r="D23" s="38"/>
      <c r="E23" s="38"/>
      <c r="F23" s="360">
        <f>F98</f>
        <v>4.4999999999999998E-2</v>
      </c>
      <c r="G23" s="361">
        <v>1</v>
      </c>
      <c r="H23" s="38" t="s">
        <v>275</v>
      </c>
      <c r="I23" s="38" t="s">
        <v>302</v>
      </c>
      <c r="J23" s="38" t="s">
        <v>304</v>
      </c>
      <c r="K23" s="274"/>
      <c r="O23" s="2"/>
      <c r="P23" s="2"/>
      <c r="V23" s="3"/>
    </row>
    <row r="24" spans="2:22" ht="16.5" customHeight="1" x14ac:dyDescent="0.3">
      <c r="B24" s="276" t="s">
        <v>22</v>
      </c>
      <c r="C24" s="359">
        <v>1</v>
      </c>
      <c r="D24" s="38"/>
      <c r="E24" s="38">
        <v>0</v>
      </c>
      <c r="F24" s="360">
        <v>0</v>
      </c>
      <c r="G24" s="361">
        <v>1</v>
      </c>
      <c r="H24" s="38" t="s">
        <v>248</v>
      </c>
      <c r="I24" s="38"/>
      <c r="J24" s="38" t="s">
        <v>249</v>
      </c>
      <c r="K24" s="274" t="s">
        <v>276</v>
      </c>
      <c r="O24" s="2"/>
      <c r="P24" s="2"/>
      <c r="V24" s="3"/>
    </row>
    <row r="25" spans="2:22" ht="16.5" customHeight="1" x14ac:dyDescent="0.3">
      <c r="B25" s="276" t="s">
        <v>23</v>
      </c>
      <c r="C25" s="359">
        <v>9.56</v>
      </c>
      <c r="D25" s="38"/>
      <c r="E25" s="38"/>
      <c r="F25" s="360">
        <f>F10*0.6</f>
        <v>0.20541599999999999</v>
      </c>
      <c r="G25" s="361">
        <v>0</v>
      </c>
      <c r="H25" s="38" t="s">
        <v>305</v>
      </c>
      <c r="I25" s="38" t="s">
        <v>309</v>
      </c>
      <c r="J25" s="38" t="s">
        <v>486</v>
      </c>
      <c r="K25" s="274"/>
      <c r="O25" s="2"/>
      <c r="P25" s="2"/>
      <c r="V25" s="3"/>
    </row>
    <row r="26" spans="2:22" ht="16.5" customHeight="1" x14ac:dyDescent="0.3">
      <c r="B26" s="276" t="s">
        <v>24</v>
      </c>
      <c r="C26" s="359">
        <v>9.56</v>
      </c>
      <c r="D26" s="38"/>
      <c r="E26" s="38"/>
      <c r="F26" s="360">
        <f>F19</f>
        <v>7.2999999999999995E-2</v>
      </c>
      <c r="G26" s="361">
        <v>1</v>
      </c>
      <c r="H26" s="38" t="s">
        <v>305</v>
      </c>
      <c r="I26" s="38" t="s">
        <v>310</v>
      </c>
      <c r="J26" s="38" t="s">
        <v>311</v>
      </c>
      <c r="K26" s="274" t="s">
        <v>312</v>
      </c>
      <c r="O26" s="2"/>
      <c r="P26" s="2"/>
      <c r="V26" s="3"/>
    </row>
    <row r="27" spans="2:22" ht="16.5" customHeight="1" x14ac:dyDescent="0.3">
      <c r="B27" s="269" t="s">
        <v>431</v>
      </c>
      <c r="C27" s="364">
        <f>43.1/3.6</f>
        <v>11.972222222222223</v>
      </c>
      <c r="D27" s="269"/>
      <c r="E27" s="269">
        <v>72.8</v>
      </c>
      <c r="F27" s="365">
        <f>E27*3.6/1000</f>
        <v>0.26207999999999998</v>
      </c>
      <c r="G27" s="366">
        <v>0</v>
      </c>
      <c r="H27" s="38" t="s">
        <v>272</v>
      </c>
      <c r="I27" s="339" t="s">
        <v>445</v>
      </c>
      <c r="J27" s="339" t="s">
        <v>446</v>
      </c>
      <c r="K27" s="358" t="s">
        <v>433</v>
      </c>
      <c r="O27" s="2"/>
      <c r="P27" s="2"/>
      <c r="V27" s="3"/>
    </row>
    <row r="28" spans="2:22" ht="16.5" customHeight="1" x14ac:dyDescent="0.3">
      <c r="B28" s="269"/>
      <c r="C28" s="38"/>
      <c r="D28" s="38"/>
      <c r="E28" s="38"/>
      <c r="F28" s="50"/>
      <c r="G28" s="274"/>
      <c r="H28" s="38"/>
      <c r="I28" s="38"/>
      <c r="J28" s="38"/>
      <c r="K28" s="274"/>
      <c r="O28" s="2"/>
      <c r="P28" s="2"/>
      <c r="V28" s="3"/>
    </row>
    <row r="29" spans="2:22" ht="16.5" customHeight="1" thickBot="1" x14ac:dyDescent="0.35">
      <c r="B29" s="3"/>
      <c r="G29" s="2"/>
      <c r="K29" s="2"/>
      <c r="O29" s="2"/>
      <c r="P29" s="2"/>
      <c r="V29" s="3"/>
    </row>
    <row r="30" spans="2:22" ht="16.5" customHeight="1" x14ac:dyDescent="0.35">
      <c r="B30" s="410" t="s">
        <v>227</v>
      </c>
      <c r="C30" s="411"/>
      <c r="D30" s="411"/>
      <c r="E30" s="411"/>
      <c r="F30" s="412"/>
      <c r="K30" s="2"/>
      <c r="O30" s="2"/>
      <c r="P30" s="2"/>
      <c r="V30" s="3"/>
    </row>
    <row r="31" spans="2:22" ht="16.5" customHeight="1" x14ac:dyDescent="0.3">
      <c r="B31" s="413" t="s">
        <v>301</v>
      </c>
      <c r="C31" s="414"/>
      <c r="D31" s="414"/>
      <c r="E31" s="414"/>
      <c r="F31" s="415"/>
      <c r="G31" s="363"/>
      <c r="K31" s="2"/>
      <c r="O31" s="2"/>
      <c r="P31" s="2"/>
      <c r="V31" s="3"/>
    </row>
    <row r="32" spans="2:22" ht="16.5" customHeight="1" x14ac:dyDescent="0.3">
      <c r="B32" s="30" t="s">
        <v>35</v>
      </c>
      <c r="C32" s="29" t="s">
        <v>36</v>
      </c>
      <c r="D32" s="29" t="s">
        <v>48</v>
      </c>
      <c r="E32" s="29" t="s">
        <v>109</v>
      </c>
      <c r="F32" s="31" t="s">
        <v>37</v>
      </c>
      <c r="G32" s="2"/>
      <c r="K32" s="2"/>
      <c r="O32" s="2"/>
      <c r="P32" s="2"/>
      <c r="V32" s="3"/>
    </row>
    <row r="33" spans="2:22" ht="16.5" customHeight="1" x14ac:dyDescent="0.3">
      <c r="B33" s="32" t="s">
        <v>50</v>
      </c>
      <c r="C33" s="28">
        <v>9100</v>
      </c>
      <c r="D33" s="28" t="s">
        <v>44</v>
      </c>
      <c r="E33" s="28">
        <f>C33/1000</f>
        <v>9.1</v>
      </c>
      <c r="F33" s="33" t="s">
        <v>38</v>
      </c>
      <c r="G33" s="2"/>
      <c r="K33" s="2"/>
      <c r="O33" s="2"/>
      <c r="P33" s="2"/>
      <c r="V33" s="3"/>
    </row>
    <row r="34" spans="2:22" ht="16.5" customHeight="1" x14ac:dyDescent="0.3">
      <c r="B34" s="32" t="s">
        <v>51</v>
      </c>
      <c r="C34" s="28">
        <v>9800</v>
      </c>
      <c r="D34" s="28" t="s">
        <v>44</v>
      </c>
      <c r="E34" s="280">
        <f t="shared" ref="E34:E35" si="1">C34/1000</f>
        <v>9.8000000000000007</v>
      </c>
      <c r="F34" s="33" t="s">
        <v>38</v>
      </c>
      <c r="G34" s="2"/>
      <c r="K34" s="2"/>
      <c r="O34" s="2"/>
      <c r="P34" s="2"/>
      <c r="V34" s="3"/>
    </row>
    <row r="35" spans="2:22" ht="16.5" customHeight="1" x14ac:dyDescent="0.3">
      <c r="B35" s="32" t="s">
        <v>52</v>
      </c>
      <c r="C35" s="28">
        <v>5830</v>
      </c>
      <c r="D35" s="28" t="s">
        <v>44</v>
      </c>
      <c r="E35" s="28">
        <f t="shared" si="1"/>
        <v>5.83</v>
      </c>
      <c r="F35" s="33" t="s">
        <v>38</v>
      </c>
      <c r="G35" s="2"/>
      <c r="K35" s="2"/>
      <c r="O35" s="2"/>
      <c r="P35" s="2"/>
      <c r="V35" s="3"/>
    </row>
    <row r="36" spans="2:22" ht="16.5" customHeight="1" x14ac:dyDescent="0.3">
      <c r="B36" s="32" t="s">
        <v>53</v>
      </c>
      <c r="C36" s="28">
        <v>9170</v>
      </c>
      <c r="D36" s="28" t="s">
        <v>44</v>
      </c>
      <c r="E36" s="280">
        <f>C36/1000</f>
        <v>9.17</v>
      </c>
      <c r="F36" s="33" t="s">
        <v>38</v>
      </c>
      <c r="G36" s="2"/>
      <c r="K36" s="2"/>
      <c r="O36" s="2"/>
      <c r="P36" s="2"/>
      <c r="V36" s="3"/>
    </row>
    <row r="37" spans="2:22" ht="16.5" customHeight="1" x14ac:dyDescent="0.3">
      <c r="B37" s="32" t="s">
        <v>39</v>
      </c>
      <c r="C37" s="28">
        <v>9440</v>
      </c>
      <c r="D37" s="28" t="s">
        <v>44</v>
      </c>
      <c r="E37" s="280">
        <f t="shared" ref="E37:E40" si="2">C37/1000</f>
        <v>9.44</v>
      </c>
      <c r="F37" s="33" t="s">
        <v>38</v>
      </c>
      <c r="G37" s="2"/>
      <c r="K37" s="2"/>
      <c r="O37" s="2"/>
      <c r="P37" s="2"/>
      <c r="V37" s="3"/>
    </row>
    <row r="38" spans="2:22" ht="16.5" customHeight="1" x14ac:dyDescent="0.3">
      <c r="B38" s="32" t="s">
        <v>40</v>
      </c>
      <c r="C38" s="28">
        <v>12930</v>
      </c>
      <c r="D38" s="28" t="s">
        <v>45</v>
      </c>
      <c r="E38" s="280">
        <f t="shared" si="2"/>
        <v>12.93</v>
      </c>
      <c r="F38" s="33" t="s">
        <v>38</v>
      </c>
      <c r="G38" s="2"/>
      <c r="K38" s="2"/>
      <c r="O38" s="2"/>
      <c r="P38" s="2"/>
      <c r="V38" s="3"/>
    </row>
    <row r="39" spans="2:22" ht="16.5" customHeight="1" x14ac:dyDescent="0.3">
      <c r="B39" s="32" t="s">
        <v>41</v>
      </c>
      <c r="C39" s="28">
        <v>13250</v>
      </c>
      <c r="D39" s="28" t="s">
        <v>46</v>
      </c>
      <c r="E39" s="280">
        <f t="shared" si="2"/>
        <v>13.25</v>
      </c>
      <c r="F39" s="33" t="s">
        <v>38</v>
      </c>
      <c r="G39" s="2"/>
      <c r="K39" s="2"/>
      <c r="O39" s="2"/>
      <c r="P39" s="2"/>
      <c r="V39" s="3"/>
    </row>
    <row r="40" spans="2:22" ht="16.5" customHeight="1" x14ac:dyDescent="0.3">
      <c r="B40" s="32" t="s">
        <v>42</v>
      </c>
      <c r="C40" s="28">
        <v>6455</v>
      </c>
      <c r="D40" s="28" t="s">
        <v>47</v>
      </c>
      <c r="E40" s="280">
        <f t="shared" si="2"/>
        <v>6.4550000000000001</v>
      </c>
      <c r="F40" s="33"/>
      <c r="G40" s="2"/>
      <c r="K40" s="2"/>
      <c r="O40" s="2"/>
      <c r="P40" s="2"/>
      <c r="V40" s="3"/>
    </row>
    <row r="41" spans="2:22" ht="16.5" customHeight="1" x14ac:dyDescent="0.3">
      <c r="B41" s="34" t="s">
        <v>55</v>
      </c>
      <c r="C41" s="23"/>
      <c r="D41" s="23"/>
      <c r="E41" s="23"/>
      <c r="F41" s="24"/>
      <c r="G41" s="2"/>
      <c r="K41" s="2"/>
      <c r="O41" s="2"/>
      <c r="P41" s="2"/>
      <c r="V41" s="3"/>
    </row>
    <row r="42" spans="2:22" ht="16.5" customHeight="1" x14ac:dyDescent="0.3">
      <c r="B42" s="35" t="s">
        <v>54</v>
      </c>
      <c r="C42" s="23"/>
      <c r="D42" s="23"/>
      <c r="E42" s="23"/>
      <c r="F42" s="24"/>
      <c r="G42" s="2"/>
      <c r="K42" s="2"/>
      <c r="O42" s="2"/>
      <c r="P42" s="2"/>
      <c r="V42" s="3"/>
    </row>
    <row r="43" spans="2:22" ht="16.5" customHeight="1" thickBot="1" x14ac:dyDescent="0.35">
      <c r="B43" s="36" t="s">
        <v>43</v>
      </c>
      <c r="C43" s="25"/>
      <c r="D43" s="25"/>
      <c r="E43" s="25"/>
      <c r="F43" s="26"/>
      <c r="G43" s="2"/>
      <c r="K43" s="2"/>
      <c r="O43" s="2"/>
      <c r="P43" s="2"/>
      <c r="V43" s="3"/>
    </row>
    <row r="44" spans="2:22" ht="16.5" customHeight="1" x14ac:dyDescent="0.3">
      <c r="B44" s="22"/>
      <c r="G44" s="2"/>
      <c r="K44" s="2"/>
      <c r="O44" s="2"/>
      <c r="P44" s="2"/>
      <c r="V44" s="3"/>
    </row>
    <row r="45" spans="2:22" ht="19.5" customHeight="1" x14ac:dyDescent="0.3"/>
    <row r="46" spans="2:22" ht="15" thickBot="1" x14ac:dyDescent="0.35"/>
    <row r="47" spans="2:22" ht="18.600000000000001" thickBot="1" x14ac:dyDescent="0.4">
      <c r="B47" s="416" t="s">
        <v>114</v>
      </c>
      <c r="C47" s="417"/>
      <c r="D47" s="417"/>
      <c r="E47" s="417"/>
      <c r="F47" s="417"/>
      <c r="G47" s="315" t="s">
        <v>350</v>
      </c>
      <c r="H47" s="316"/>
      <c r="I47" s="316"/>
      <c r="J47" s="316"/>
      <c r="K47" s="317"/>
    </row>
    <row r="48" spans="2:22" x14ac:dyDescent="0.3">
      <c r="B48" s="318" t="s">
        <v>357</v>
      </c>
      <c r="C48" s="319"/>
      <c r="D48" s="319"/>
      <c r="E48" s="319"/>
      <c r="F48" s="320"/>
      <c r="G48" s="319" t="s">
        <v>351</v>
      </c>
      <c r="H48" s="319"/>
      <c r="I48" s="319"/>
      <c r="J48" s="319"/>
      <c r="K48" s="320"/>
    </row>
    <row r="49" spans="2:11" x14ac:dyDescent="0.3">
      <c r="B49" s="1" t="s">
        <v>356</v>
      </c>
      <c r="C49" s="23"/>
      <c r="D49" s="23"/>
      <c r="E49" s="23"/>
      <c r="F49" s="24"/>
      <c r="G49" s="23" t="s">
        <v>352</v>
      </c>
      <c r="H49" s="23"/>
      <c r="I49" s="23"/>
      <c r="J49" s="23"/>
      <c r="K49" s="24"/>
    </row>
    <row r="50" spans="2:11" x14ac:dyDescent="0.3">
      <c r="B50" s="1" t="s">
        <v>487</v>
      </c>
      <c r="C50" s="23"/>
      <c r="D50" s="23"/>
      <c r="E50" s="23"/>
      <c r="F50" s="24"/>
      <c r="G50" s="23"/>
      <c r="H50" s="23"/>
      <c r="I50" s="23"/>
      <c r="J50" s="23"/>
      <c r="K50" s="24"/>
    </row>
    <row r="51" spans="2:11" ht="43.8" thickBot="1" x14ac:dyDescent="0.35">
      <c r="B51" s="1"/>
      <c r="C51" s="23"/>
      <c r="D51" s="23"/>
      <c r="E51" s="23"/>
      <c r="F51" s="24"/>
      <c r="G51" s="326" t="s">
        <v>225</v>
      </c>
      <c r="H51" s="321" t="s">
        <v>353</v>
      </c>
      <c r="I51" s="23"/>
      <c r="J51" s="23"/>
      <c r="K51" s="24"/>
    </row>
    <row r="52" spans="2:11" ht="48" customHeight="1" thickBot="1" x14ac:dyDescent="0.35">
      <c r="B52" s="418" t="s">
        <v>413</v>
      </c>
      <c r="C52" s="419"/>
      <c r="D52" s="420"/>
      <c r="E52" s="23"/>
      <c r="F52" s="24"/>
      <c r="G52" s="204" t="s">
        <v>32</v>
      </c>
      <c r="H52" s="265">
        <v>0.24399999999999999</v>
      </c>
      <c r="I52" s="23"/>
      <c r="J52" s="23"/>
      <c r="K52" s="24"/>
    </row>
    <row r="53" spans="2:11" ht="15" thickTop="1" x14ac:dyDescent="0.3">
      <c r="B53" s="1"/>
      <c r="C53" s="299" t="s">
        <v>346</v>
      </c>
      <c r="D53" s="304" t="s">
        <v>348</v>
      </c>
      <c r="E53" s="23"/>
      <c r="F53" s="24"/>
      <c r="G53" s="204" t="s">
        <v>33</v>
      </c>
      <c r="H53" s="265">
        <v>0</v>
      </c>
      <c r="I53" s="23"/>
      <c r="J53" s="23"/>
      <c r="K53" s="24"/>
    </row>
    <row r="54" spans="2:11" ht="15" thickBot="1" x14ac:dyDescent="0.35">
      <c r="B54" s="1"/>
      <c r="C54" s="300">
        <v>2020</v>
      </c>
      <c r="D54" s="305">
        <v>2020</v>
      </c>
      <c r="E54" s="23"/>
      <c r="F54" s="24"/>
      <c r="G54" s="204" t="s">
        <v>31</v>
      </c>
      <c r="H54" s="265">
        <v>6.4000000000000001E-2</v>
      </c>
      <c r="I54" s="23"/>
      <c r="J54" s="23"/>
      <c r="K54" s="24"/>
    </row>
    <row r="55" spans="2:11" ht="15" thickTop="1" x14ac:dyDescent="0.3">
      <c r="B55" s="306" t="s">
        <v>347</v>
      </c>
      <c r="C55" s="301"/>
      <c r="D55" s="307"/>
      <c r="E55" s="23"/>
      <c r="F55" s="24"/>
      <c r="G55" s="204" t="s">
        <v>224</v>
      </c>
      <c r="H55" s="265">
        <v>1</v>
      </c>
      <c r="I55" s="23"/>
      <c r="J55" s="23"/>
      <c r="K55" s="24"/>
    </row>
    <row r="56" spans="2:11" x14ac:dyDescent="0.3">
      <c r="B56" s="308" t="s">
        <v>343</v>
      </c>
      <c r="C56" s="302">
        <v>22378</v>
      </c>
      <c r="D56" s="309">
        <v>42781</v>
      </c>
      <c r="E56" s="23"/>
      <c r="F56" s="24"/>
      <c r="G56" s="204" t="s">
        <v>223</v>
      </c>
      <c r="H56" s="265">
        <v>1</v>
      </c>
      <c r="I56" s="23"/>
      <c r="J56" s="23"/>
      <c r="K56" s="24"/>
    </row>
    <row r="57" spans="2:11" x14ac:dyDescent="0.3">
      <c r="B57" s="308" t="s">
        <v>344</v>
      </c>
      <c r="C57" s="303">
        <v>454</v>
      </c>
      <c r="D57" s="309"/>
      <c r="E57" s="23"/>
      <c r="F57" s="24"/>
      <c r="G57" s="204" t="s">
        <v>222</v>
      </c>
      <c r="H57" s="265">
        <v>0.81</v>
      </c>
      <c r="I57" s="23"/>
      <c r="J57" s="23"/>
      <c r="K57" s="24"/>
    </row>
    <row r="58" spans="2:11" x14ac:dyDescent="0.3">
      <c r="B58" s="308" t="s">
        <v>345</v>
      </c>
      <c r="C58" s="303">
        <v>813</v>
      </c>
      <c r="D58" s="309"/>
      <c r="E58" s="23"/>
      <c r="F58" s="24"/>
      <c r="G58" s="327"/>
      <c r="H58" s="322" t="s">
        <v>355</v>
      </c>
      <c r="I58" s="23"/>
      <c r="J58" s="23"/>
      <c r="K58" s="24"/>
    </row>
    <row r="59" spans="2:11" x14ac:dyDescent="0.3">
      <c r="B59" s="308" t="s">
        <v>34</v>
      </c>
      <c r="C59" s="303"/>
      <c r="D59" s="309">
        <v>2906</v>
      </c>
      <c r="E59" s="23"/>
      <c r="F59" s="24"/>
      <c r="G59" s="328" t="s">
        <v>354</v>
      </c>
      <c r="H59" s="265">
        <v>0.98</v>
      </c>
      <c r="I59" s="23"/>
      <c r="J59" s="23"/>
      <c r="K59" s="24"/>
    </row>
    <row r="60" spans="2:11" ht="15" thickBot="1" x14ac:dyDescent="0.35">
      <c r="B60" s="310" t="s">
        <v>0</v>
      </c>
      <c r="C60" s="300"/>
      <c r="D60" s="311">
        <v>10090</v>
      </c>
      <c r="E60" s="23"/>
      <c r="F60" s="24"/>
      <c r="G60" s="23"/>
      <c r="H60" s="23"/>
      <c r="I60" s="23"/>
      <c r="J60" s="23"/>
      <c r="K60" s="24"/>
    </row>
    <row r="61" spans="2:11" ht="15.6" thickTop="1" thickBot="1" x14ac:dyDescent="0.35">
      <c r="B61" s="312" t="s">
        <v>349</v>
      </c>
      <c r="C61" s="313">
        <f>(C57+C58)/C56</f>
        <v>5.6618107069443202E-2</v>
      </c>
      <c r="D61" s="314">
        <f>(D59+D60)/(D56+D59+D60)</f>
        <v>0.23299926492998907</v>
      </c>
      <c r="E61" s="23"/>
      <c r="F61" s="24"/>
      <c r="G61" s="23"/>
      <c r="H61" s="23"/>
      <c r="I61" s="23"/>
      <c r="J61" s="23"/>
      <c r="K61" s="24"/>
    </row>
    <row r="62" spans="2:11" ht="15" thickBot="1" x14ac:dyDescent="0.35">
      <c r="B62" s="1"/>
      <c r="C62" s="23"/>
      <c r="D62" s="23"/>
      <c r="E62" s="23"/>
      <c r="F62" s="24"/>
      <c r="G62" s="23"/>
      <c r="H62" s="23"/>
      <c r="I62" s="23"/>
      <c r="J62" s="23"/>
      <c r="K62" s="24"/>
    </row>
    <row r="63" spans="2:11" ht="15" thickBot="1" x14ac:dyDescent="0.35">
      <c r="B63" s="325" t="s">
        <v>225</v>
      </c>
      <c r="C63" s="369" t="s">
        <v>355</v>
      </c>
      <c r="D63" s="370" t="s">
        <v>3</v>
      </c>
      <c r="E63" s="23"/>
      <c r="F63" s="24"/>
      <c r="G63" s="23"/>
      <c r="H63" s="23"/>
      <c r="I63" s="23"/>
      <c r="J63" s="23"/>
      <c r="K63" s="24"/>
    </row>
    <row r="64" spans="2:11" x14ac:dyDescent="0.3">
      <c r="B64" s="329" t="s">
        <v>358</v>
      </c>
      <c r="C64" s="331">
        <f>D61</f>
        <v>0.23299926492998907</v>
      </c>
      <c r="D64" s="372" t="s">
        <v>461</v>
      </c>
      <c r="E64" s="23"/>
      <c r="F64" s="24"/>
      <c r="G64" s="23"/>
      <c r="H64" s="23"/>
      <c r="I64" s="23"/>
      <c r="J64" s="23"/>
      <c r="K64" s="24"/>
    </row>
    <row r="65" spans="2:13" x14ac:dyDescent="0.3">
      <c r="B65" s="218" t="s">
        <v>31</v>
      </c>
      <c r="C65" s="324">
        <f>C61</f>
        <v>5.6618107069443202E-2</v>
      </c>
      <c r="D65" s="372" t="s">
        <v>462</v>
      </c>
      <c r="E65" s="23"/>
      <c r="F65" s="24"/>
      <c r="G65" s="23"/>
      <c r="H65" s="23"/>
      <c r="I65" s="23"/>
      <c r="J65" s="23"/>
      <c r="K65" s="24"/>
    </row>
    <row r="66" spans="2:13" x14ac:dyDescent="0.3">
      <c r="B66" s="218" t="s">
        <v>224</v>
      </c>
      <c r="C66" s="324">
        <f>H55</f>
        <v>1</v>
      </c>
      <c r="D66" s="38" t="s">
        <v>361</v>
      </c>
      <c r="E66" s="23"/>
      <c r="F66" s="24"/>
      <c r="G66" s="23"/>
      <c r="H66" s="23"/>
      <c r="I66" s="23"/>
      <c r="J66" s="23"/>
      <c r="K66" s="24"/>
    </row>
    <row r="67" spans="2:13" x14ac:dyDescent="0.3">
      <c r="B67" s="218" t="s">
        <v>223</v>
      </c>
      <c r="C67" s="324">
        <f>H56</f>
        <v>1</v>
      </c>
      <c r="D67" s="38" t="s">
        <v>360</v>
      </c>
      <c r="E67" s="23"/>
      <c r="F67" s="24"/>
      <c r="G67" s="23"/>
      <c r="H67" s="23"/>
      <c r="I67" s="23"/>
      <c r="J67" s="23"/>
      <c r="K67" s="24"/>
    </row>
    <row r="68" spans="2:13" x14ac:dyDescent="0.3">
      <c r="B68" s="218" t="s">
        <v>222</v>
      </c>
      <c r="C68" s="332">
        <v>0.73</v>
      </c>
      <c r="D68" s="38" t="s">
        <v>487</v>
      </c>
      <c r="E68" s="23"/>
      <c r="F68" s="24"/>
      <c r="G68" s="23"/>
      <c r="H68" s="23"/>
      <c r="I68" s="23"/>
      <c r="J68" s="23"/>
      <c r="K68" s="24"/>
    </row>
    <row r="69" spans="2:13" ht="15" thickBot="1" x14ac:dyDescent="0.35">
      <c r="B69" s="330" t="s">
        <v>354</v>
      </c>
      <c r="C69" s="333">
        <f>H59</f>
        <v>0.98</v>
      </c>
      <c r="D69" s="70" t="s">
        <v>359</v>
      </c>
      <c r="E69" s="25"/>
      <c r="F69" s="26"/>
      <c r="G69" s="25"/>
      <c r="H69" s="25"/>
      <c r="I69" s="25"/>
      <c r="J69" s="25"/>
      <c r="K69" s="26"/>
    </row>
    <row r="70" spans="2:13" ht="18.600000000000001" thickBot="1" x14ac:dyDescent="0.4">
      <c r="B70" s="337" t="s">
        <v>115</v>
      </c>
      <c r="C70" s="316"/>
      <c r="D70" s="316"/>
      <c r="E70" s="316"/>
      <c r="F70" s="316"/>
      <c r="G70" s="316"/>
      <c r="H70" s="316"/>
      <c r="I70" s="316"/>
      <c r="J70" s="316"/>
      <c r="K70" s="317"/>
    </row>
    <row r="71" spans="2:13" x14ac:dyDescent="0.3">
      <c r="B71" s="1" t="s">
        <v>357</v>
      </c>
      <c r="C71" s="296"/>
      <c r="D71" s="23"/>
      <c r="E71" s="23"/>
      <c r="F71" s="334"/>
      <c r="G71" s="335"/>
      <c r="H71" s="296"/>
      <c r="I71" s="296"/>
      <c r="J71" s="296"/>
      <c r="K71" s="297"/>
      <c r="L71" s="3"/>
      <c r="M71" s="125"/>
    </row>
    <row r="72" spans="2:13" x14ac:dyDescent="0.3">
      <c r="B72" s="1" t="s">
        <v>356</v>
      </c>
      <c r="C72" s="23"/>
      <c r="D72" s="23"/>
      <c r="E72" s="23"/>
      <c r="F72" s="23"/>
      <c r="G72" s="23"/>
      <c r="H72" s="23"/>
      <c r="I72" s="23"/>
      <c r="J72" s="23"/>
      <c r="K72" s="24"/>
    </row>
    <row r="73" spans="2:13" x14ac:dyDescent="0.3">
      <c r="B73" s="1"/>
      <c r="C73" s="23"/>
      <c r="D73" s="23"/>
      <c r="E73" s="23"/>
      <c r="F73" s="23"/>
      <c r="G73" s="23"/>
      <c r="H73" s="23"/>
      <c r="I73" s="23"/>
      <c r="J73" s="23"/>
      <c r="K73" s="24"/>
    </row>
    <row r="74" spans="2:13" x14ac:dyDescent="0.3">
      <c r="B74" s="1"/>
      <c r="C74" s="422" t="s">
        <v>362</v>
      </c>
      <c r="D74" s="421" t="s">
        <v>363</v>
      </c>
      <c r="E74" s="423" t="s">
        <v>3</v>
      </c>
      <c r="F74" s="23"/>
      <c r="G74" s="23"/>
      <c r="H74" s="23"/>
      <c r="I74" s="23"/>
      <c r="J74" s="23"/>
      <c r="K74" s="24"/>
    </row>
    <row r="75" spans="2:13" x14ac:dyDescent="0.3">
      <c r="B75" s="1"/>
      <c r="C75" s="422"/>
      <c r="D75" s="421"/>
      <c r="E75" s="424"/>
      <c r="F75" s="23"/>
      <c r="G75" s="23"/>
      <c r="H75" s="23"/>
      <c r="I75" s="23"/>
      <c r="J75" s="23"/>
      <c r="K75" s="24"/>
    </row>
    <row r="76" spans="2:13" x14ac:dyDescent="0.3">
      <c r="B76" s="218" t="s">
        <v>32</v>
      </c>
      <c r="C76" s="38">
        <v>273</v>
      </c>
      <c r="D76" s="75">
        <f>C76/1000</f>
        <v>0.27300000000000002</v>
      </c>
      <c r="E76" s="372" t="s">
        <v>461</v>
      </c>
      <c r="F76" s="23"/>
      <c r="G76" s="23"/>
      <c r="H76" s="23"/>
      <c r="I76" s="23"/>
      <c r="J76" s="23"/>
      <c r="K76" s="24"/>
    </row>
    <row r="77" spans="2:13" x14ac:dyDescent="0.3">
      <c r="B77" s="218" t="s">
        <v>33</v>
      </c>
      <c r="C77" s="38">
        <v>342</v>
      </c>
      <c r="D77" s="38">
        <f t="shared" ref="D77:D82" si="3">C77/1000</f>
        <v>0.34200000000000003</v>
      </c>
      <c r="E77" s="38"/>
      <c r="F77" s="23"/>
      <c r="G77" s="23"/>
      <c r="H77" s="23"/>
      <c r="I77" s="23"/>
      <c r="J77" s="23"/>
      <c r="K77" s="24"/>
    </row>
    <row r="78" spans="2:13" x14ac:dyDescent="0.3">
      <c r="B78" s="218" t="s">
        <v>31</v>
      </c>
      <c r="C78" s="38">
        <v>321</v>
      </c>
      <c r="D78" s="75">
        <f t="shared" si="3"/>
        <v>0.32100000000000001</v>
      </c>
      <c r="E78" s="372" t="s">
        <v>462</v>
      </c>
      <c r="F78" s="23"/>
      <c r="G78" s="23"/>
      <c r="H78" s="23"/>
      <c r="I78" s="23"/>
      <c r="J78" s="23"/>
      <c r="K78" s="24"/>
    </row>
    <row r="79" spans="2:13" x14ac:dyDescent="0.3">
      <c r="B79" s="218" t="s">
        <v>224</v>
      </c>
      <c r="C79" s="38">
        <v>73</v>
      </c>
      <c r="D79" s="75">
        <f t="shared" si="3"/>
        <v>7.2999999999999995E-2</v>
      </c>
      <c r="E79" s="38"/>
      <c r="F79" s="23"/>
      <c r="G79" s="23"/>
      <c r="H79" s="23"/>
      <c r="I79" s="23"/>
      <c r="J79" s="23"/>
      <c r="K79" s="24"/>
    </row>
    <row r="80" spans="2:13" x14ac:dyDescent="0.3">
      <c r="B80" s="218" t="s">
        <v>223</v>
      </c>
      <c r="C80" s="38">
        <v>118</v>
      </c>
      <c r="D80" s="75">
        <f t="shared" si="3"/>
        <v>0.11799999999999999</v>
      </c>
      <c r="E80" s="38"/>
      <c r="F80" s="23"/>
      <c r="G80" s="23"/>
      <c r="H80" s="23"/>
      <c r="I80" s="23"/>
      <c r="J80" s="23"/>
      <c r="K80" s="24"/>
    </row>
    <row r="81" spans="2:11" x14ac:dyDescent="0.3">
      <c r="B81" s="218" t="s">
        <v>222</v>
      </c>
      <c r="C81" s="38">
        <v>175</v>
      </c>
      <c r="D81" s="75">
        <f t="shared" si="3"/>
        <v>0.17499999999999999</v>
      </c>
      <c r="E81" s="38"/>
      <c r="F81" s="23"/>
      <c r="G81" s="23"/>
      <c r="H81" s="23"/>
      <c r="I81" s="23"/>
      <c r="J81" s="23"/>
      <c r="K81" s="24"/>
    </row>
    <row r="82" spans="2:11" x14ac:dyDescent="0.3">
      <c r="B82" s="336" t="s">
        <v>354</v>
      </c>
      <c r="C82" s="38">
        <v>45</v>
      </c>
      <c r="D82" s="75">
        <f t="shared" si="3"/>
        <v>4.4999999999999998E-2</v>
      </c>
      <c r="E82" s="38"/>
      <c r="F82" s="23"/>
      <c r="G82" s="23"/>
      <c r="H82" s="23"/>
      <c r="I82" s="23"/>
      <c r="J82" s="23"/>
      <c r="K82" s="24"/>
    </row>
    <row r="83" spans="2:11" x14ac:dyDescent="0.3">
      <c r="B83" s="1"/>
      <c r="C83" s="23"/>
      <c r="D83" s="23"/>
      <c r="E83" s="23"/>
      <c r="F83" s="23"/>
      <c r="G83" s="23"/>
      <c r="H83" s="23"/>
      <c r="I83" s="23"/>
      <c r="J83" s="23"/>
      <c r="K83" s="24"/>
    </row>
    <row r="84" spans="2:11" x14ac:dyDescent="0.3">
      <c r="B84" s="1"/>
      <c r="C84" s="23"/>
      <c r="D84" s="23"/>
      <c r="E84" s="23"/>
      <c r="F84" s="23"/>
      <c r="G84" s="23"/>
      <c r="H84" s="23"/>
      <c r="I84" s="23"/>
      <c r="J84" s="23"/>
      <c r="K84" s="24"/>
    </row>
    <row r="85" spans="2:11" x14ac:dyDescent="0.3">
      <c r="B85" s="1"/>
      <c r="C85" s="23"/>
      <c r="D85" s="23"/>
      <c r="E85" s="23"/>
      <c r="F85" s="23"/>
      <c r="G85" s="23"/>
      <c r="H85" s="23"/>
      <c r="I85" s="23"/>
      <c r="J85" s="23"/>
      <c r="K85" s="24"/>
    </row>
    <row r="86" spans="2:11" x14ac:dyDescent="0.3">
      <c r="B86" s="1"/>
      <c r="C86" s="23"/>
      <c r="D86" s="23"/>
      <c r="E86" s="23"/>
      <c r="F86" s="23"/>
      <c r="G86" s="23"/>
      <c r="H86" s="23"/>
      <c r="I86" s="23"/>
      <c r="J86" s="23"/>
      <c r="K86" s="24"/>
    </row>
    <row r="87" spans="2:11" x14ac:dyDescent="0.3">
      <c r="B87" s="1"/>
      <c r="C87" s="23"/>
      <c r="D87" s="23"/>
      <c r="E87" s="23"/>
      <c r="F87" s="23"/>
      <c r="G87" s="23"/>
      <c r="H87" s="23"/>
      <c r="I87" s="23"/>
      <c r="J87" s="23"/>
      <c r="K87" s="24"/>
    </row>
    <row r="88" spans="2:11" x14ac:dyDescent="0.3">
      <c r="B88" s="1"/>
      <c r="C88" s="23"/>
      <c r="D88" s="23"/>
      <c r="E88" s="23"/>
      <c r="F88" s="23"/>
      <c r="G88" s="23"/>
      <c r="H88" s="23"/>
      <c r="I88" s="23"/>
      <c r="J88" s="23"/>
      <c r="K88" s="24"/>
    </row>
    <row r="89" spans="2:11" x14ac:dyDescent="0.3">
      <c r="B89" s="1"/>
      <c r="C89" s="23"/>
      <c r="D89" s="23"/>
      <c r="E89" s="23"/>
      <c r="F89" s="23"/>
      <c r="G89" s="23"/>
      <c r="H89" s="23"/>
      <c r="I89" s="23"/>
      <c r="J89" s="23"/>
      <c r="K89" s="24"/>
    </row>
    <row r="90" spans="2:11" x14ac:dyDescent="0.3">
      <c r="B90" s="1"/>
      <c r="C90" s="23"/>
      <c r="D90" s="23"/>
      <c r="E90" s="23"/>
      <c r="F90" s="23"/>
      <c r="G90" s="23"/>
      <c r="H90" s="23"/>
      <c r="I90" s="23"/>
      <c r="J90" s="23"/>
      <c r="K90" s="24"/>
    </row>
    <row r="91" spans="2:11" ht="15" thickBot="1" x14ac:dyDescent="0.35">
      <c r="B91" s="323"/>
      <c r="C91" s="25"/>
      <c r="D91" s="25"/>
      <c r="E91" s="25"/>
      <c r="F91" s="25"/>
      <c r="G91" s="25"/>
      <c r="H91" s="25"/>
      <c r="I91" s="25"/>
      <c r="J91" s="25"/>
      <c r="K91" s="26"/>
    </row>
    <row r="95" spans="2:11" ht="18" x14ac:dyDescent="0.35">
      <c r="B95" s="293" t="s">
        <v>364</v>
      </c>
      <c r="C95" s="294"/>
      <c r="D95" s="294"/>
      <c r="E95" s="294"/>
      <c r="F95" s="294"/>
      <c r="G95" s="294"/>
      <c r="H95" s="294"/>
      <c r="I95" s="294"/>
      <c r="J95" s="294"/>
    </row>
    <row r="96" spans="2:11" ht="107.4" x14ac:dyDescent="0.3">
      <c r="B96" s="77" t="s">
        <v>117</v>
      </c>
      <c r="C96" s="7" t="s">
        <v>8</v>
      </c>
      <c r="D96" s="7" t="s">
        <v>118</v>
      </c>
      <c r="E96" s="7" t="s">
        <v>119</v>
      </c>
      <c r="F96" s="7" t="s">
        <v>30</v>
      </c>
      <c r="G96" s="7" t="s">
        <v>2</v>
      </c>
      <c r="H96" s="8" t="s">
        <v>3</v>
      </c>
      <c r="I96" s="7" t="s">
        <v>4</v>
      </c>
      <c r="J96" s="7"/>
    </row>
    <row r="97" spans="2:10" x14ac:dyDescent="0.3">
      <c r="B97" s="79" t="s">
        <v>121</v>
      </c>
      <c r="C97" s="38">
        <v>0</v>
      </c>
      <c r="D97" s="38">
        <v>0</v>
      </c>
      <c r="E97" s="38">
        <v>0</v>
      </c>
      <c r="F97" s="367">
        <v>0</v>
      </c>
      <c r="G97" s="38" t="s">
        <v>248</v>
      </c>
      <c r="H97" s="39" t="s">
        <v>249</v>
      </c>
      <c r="I97" s="81" t="s">
        <v>122</v>
      </c>
      <c r="J97" s="80"/>
    </row>
    <row r="98" spans="2:10" x14ac:dyDescent="0.3">
      <c r="B98" s="76" t="s">
        <v>449</v>
      </c>
      <c r="C98" s="38">
        <v>13</v>
      </c>
      <c r="D98" s="38"/>
      <c r="E98" s="133">
        <v>12.5</v>
      </c>
      <c r="F98" s="368">
        <f>(E98*3.6)/1000</f>
        <v>4.4999999999999998E-2</v>
      </c>
      <c r="G98" s="38" t="s">
        <v>116</v>
      </c>
      <c r="H98" s="128" t="s">
        <v>238</v>
      </c>
      <c r="I98" s="298" t="s">
        <v>237</v>
      </c>
      <c r="J98" s="56"/>
    </row>
    <row r="99" spans="2:10" x14ac:dyDescent="0.3">
      <c r="B99" s="78" t="s">
        <v>448</v>
      </c>
      <c r="C99" s="38">
        <v>13.3</v>
      </c>
      <c r="D99" s="38"/>
      <c r="E99" s="133">
        <v>70.7</v>
      </c>
      <c r="F99" s="368">
        <f>(E99*3.6)/1000</f>
        <v>0.25452000000000002</v>
      </c>
      <c r="G99" s="38" t="s">
        <v>120</v>
      </c>
      <c r="H99" s="128" t="s">
        <v>239</v>
      </c>
      <c r="I99" s="260" t="s">
        <v>237</v>
      </c>
      <c r="J99" s="56"/>
    </row>
    <row r="100" spans="2:10" x14ac:dyDescent="0.3">
      <c r="B100" s="78"/>
      <c r="C100" s="38"/>
      <c r="D100" s="38"/>
      <c r="E100" s="133"/>
      <c r="F100" s="341"/>
      <c r="G100" s="38"/>
      <c r="H100" s="128"/>
      <c r="I100" s="260"/>
      <c r="J100" s="56"/>
    </row>
    <row r="101" spans="2:10" x14ac:dyDescent="0.3">
      <c r="B101" s="267" t="s">
        <v>250</v>
      </c>
      <c r="C101" s="39">
        <f>(0.3*E34)+(0.63*E37)+(0.07*E36)</f>
        <v>9.5290999999999997</v>
      </c>
      <c r="D101" s="39"/>
      <c r="E101" s="128"/>
      <c r="F101" s="263">
        <f>(0.3*F10)+(0.63*F19)+(0.07*F20)</f>
        <v>0.15695799999999999</v>
      </c>
      <c r="G101" s="264" t="s">
        <v>251</v>
      </c>
      <c r="H101" s="128" t="s">
        <v>252</v>
      </c>
      <c r="I101" s="268"/>
      <c r="J101" s="39"/>
    </row>
  </sheetData>
  <mergeCells count="7">
    <mergeCell ref="B30:F30"/>
    <mergeCell ref="B31:F31"/>
    <mergeCell ref="B47:F47"/>
    <mergeCell ref="B52:D52"/>
    <mergeCell ref="D74:D75"/>
    <mergeCell ref="C74:C75"/>
    <mergeCell ref="E74:E75"/>
  </mergeCells>
  <hyperlinks>
    <hyperlink ref="I99" r:id="rId1" xr:uid="{B1066F81-AF4A-4E0E-B1F2-2E7C03E496E3}"/>
  </hyperlinks>
  <pageMargins left="0.7" right="0.7" top="0.75" bottom="0.75" header="0.3" footer="0.3"/>
  <pageSetup paperSize="9" orientation="portrait" r:id="rId2"/>
  <ignoredErrors>
    <ignoredError sqref="C19 F11" formula="1"/>
  </ignoredErrors>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0148-CA13-4A31-85BA-996DDD2F9347}">
  <sheetPr>
    <tabColor rgb="FFFF0000"/>
  </sheetPr>
  <dimension ref="A1:T115"/>
  <sheetViews>
    <sheetView topLeftCell="A85" zoomScale="70" zoomScaleNormal="70" workbookViewId="0">
      <selection activeCell="J78" sqref="J78"/>
    </sheetView>
  </sheetViews>
  <sheetFormatPr defaultRowHeight="14.4" x14ac:dyDescent="0.3"/>
  <cols>
    <col min="1" max="1" width="38.44140625" customWidth="1"/>
    <col min="2" max="2" width="36.6640625" customWidth="1"/>
    <col min="3" max="3" width="15" customWidth="1"/>
    <col min="4" max="4" width="21.44140625" customWidth="1"/>
    <col min="5" max="5" width="19.33203125" customWidth="1"/>
    <col min="6" max="6" width="14.6640625" customWidth="1"/>
    <col min="7" max="7" width="18.44140625" customWidth="1"/>
    <col min="8" max="8" width="21.6640625" customWidth="1"/>
    <col min="9" max="9" width="19" customWidth="1"/>
    <col min="10" max="10" width="18.33203125" customWidth="1"/>
    <col min="11" max="11" width="11.5546875" bestFit="1" customWidth="1"/>
    <col min="12" max="12" width="15.44140625" customWidth="1"/>
    <col min="13" max="13" width="44" customWidth="1"/>
    <col min="16" max="16" width="19" customWidth="1"/>
    <col min="17" max="17" width="22.33203125" customWidth="1"/>
    <col min="18" max="18" width="21.6640625" customWidth="1"/>
    <col min="19" max="19" width="21.5546875" customWidth="1"/>
  </cols>
  <sheetData>
    <row r="1" spans="1:10" ht="31.2" x14ac:dyDescent="0.6">
      <c r="A1" s="27" t="s">
        <v>112</v>
      </c>
    </row>
    <row r="2" spans="1:10" x14ac:dyDescent="0.3">
      <c r="A2" s="4" t="s">
        <v>1</v>
      </c>
      <c r="C2" s="121"/>
    </row>
    <row r="3" spans="1:10" ht="15" thickBot="1" x14ac:dyDescent="0.35">
      <c r="A3" s="21" t="s">
        <v>113</v>
      </c>
    </row>
    <row r="4" spans="1:10" ht="57.6" x14ac:dyDescent="0.3">
      <c r="A4" s="66" t="s">
        <v>28</v>
      </c>
      <c r="B4" s="67" t="s">
        <v>8</v>
      </c>
      <c r="C4" s="67" t="s">
        <v>65</v>
      </c>
      <c r="D4" s="67" t="s">
        <v>62</v>
      </c>
      <c r="E4" s="67" t="s">
        <v>64</v>
      </c>
      <c r="F4" s="68" t="s">
        <v>67</v>
      </c>
      <c r="G4" s="69" t="s">
        <v>66</v>
      </c>
      <c r="H4" s="12"/>
    </row>
    <row r="5" spans="1:10" x14ac:dyDescent="0.3">
      <c r="A5" s="218" t="s">
        <v>57</v>
      </c>
      <c r="B5" s="219">
        <f>E28</f>
        <v>0.49673613208603568</v>
      </c>
      <c r="C5" s="220">
        <f>D28</f>
        <v>0.17232337631620828</v>
      </c>
      <c r="D5" s="221">
        <f>F28/1000</f>
        <v>0.14558970220567097</v>
      </c>
      <c r="E5" s="128" t="s">
        <v>255</v>
      </c>
      <c r="F5" s="223" t="s">
        <v>255</v>
      </c>
      <c r="G5" s="223" t="s">
        <v>255</v>
      </c>
      <c r="I5" s="352"/>
    </row>
    <row r="6" spans="1:10" ht="16.2" x14ac:dyDescent="0.3">
      <c r="A6" s="218" t="s">
        <v>230</v>
      </c>
      <c r="B6" s="219">
        <v>8.1000000000000003E-2</v>
      </c>
      <c r="C6" s="224">
        <v>1</v>
      </c>
      <c r="D6" s="214">
        <v>0</v>
      </c>
      <c r="E6" s="128" t="s">
        <v>196</v>
      </c>
      <c r="F6" s="222" t="s">
        <v>68</v>
      </c>
      <c r="G6" s="223" t="s">
        <v>91</v>
      </c>
      <c r="I6" s="339"/>
    </row>
    <row r="7" spans="1:10" x14ac:dyDescent="0.3">
      <c r="A7" s="218" t="s">
        <v>58</v>
      </c>
      <c r="B7" s="225">
        <f>G55</f>
        <v>0.94444444444444442</v>
      </c>
      <c r="C7" s="226">
        <v>0</v>
      </c>
      <c r="D7" s="214">
        <f>H55</f>
        <v>0.24</v>
      </c>
      <c r="E7" s="128" t="s">
        <v>86</v>
      </c>
      <c r="F7" s="222" t="s">
        <v>216</v>
      </c>
      <c r="G7" s="223" t="s">
        <v>86</v>
      </c>
      <c r="I7" s="339"/>
    </row>
    <row r="8" spans="1:10" x14ac:dyDescent="0.3">
      <c r="A8" s="218" t="s">
        <v>59</v>
      </c>
      <c r="B8" s="225">
        <f>G59</f>
        <v>0.48888888888888893</v>
      </c>
      <c r="C8" s="226">
        <v>0</v>
      </c>
      <c r="D8" s="214">
        <f>H59</f>
        <v>0.14500000000000002</v>
      </c>
      <c r="E8" s="128" t="s">
        <v>86</v>
      </c>
      <c r="F8" s="222" t="s">
        <v>216</v>
      </c>
      <c r="G8" s="223" t="s">
        <v>86</v>
      </c>
      <c r="I8" s="339"/>
    </row>
    <row r="9" spans="1:10" ht="16.2" customHeight="1" x14ac:dyDescent="0.3">
      <c r="A9" s="227" t="s">
        <v>231</v>
      </c>
      <c r="B9" s="228">
        <v>0.31</v>
      </c>
      <c r="C9" s="229">
        <v>1</v>
      </c>
      <c r="D9" s="230">
        <f>12.7/1000</f>
        <v>1.2699999999999999E-2</v>
      </c>
      <c r="E9" s="231" t="s">
        <v>385</v>
      </c>
      <c r="F9" s="340" t="s">
        <v>387</v>
      </c>
      <c r="G9" s="232" t="s">
        <v>386</v>
      </c>
      <c r="I9" s="339"/>
      <c r="J9" s="9"/>
    </row>
    <row r="10" spans="1:10" ht="16.2" x14ac:dyDescent="0.3">
      <c r="A10" s="218" t="s">
        <v>232</v>
      </c>
      <c r="B10" s="225">
        <f>F74/100</f>
        <v>0.49362</v>
      </c>
      <c r="C10" s="226">
        <f>C5</f>
        <v>0.17232337631620828</v>
      </c>
      <c r="D10" s="214">
        <f>B10*(273/1000)</f>
        <v>0.13475826000000002</v>
      </c>
      <c r="E10" s="121" t="s">
        <v>465</v>
      </c>
      <c r="F10" s="222" t="s">
        <v>464</v>
      </c>
      <c r="G10" s="223" t="s">
        <v>466</v>
      </c>
      <c r="I10" s="352"/>
    </row>
    <row r="11" spans="1:10" ht="16.2" x14ac:dyDescent="0.3">
      <c r="A11" s="233" t="s">
        <v>233</v>
      </c>
      <c r="B11" s="225">
        <f>E41</f>
        <v>0.41949673629242823</v>
      </c>
      <c r="C11" s="226">
        <f>D41</f>
        <v>0.33729227356904901</v>
      </c>
      <c r="D11" s="214">
        <f>F41/1000</f>
        <v>9.999243253026345E-2</v>
      </c>
      <c r="E11" s="128" t="s">
        <v>86</v>
      </c>
      <c r="F11" s="128" t="s">
        <v>86</v>
      </c>
      <c r="G11" s="223" t="s">
        <v>86</v>
      </c>
      <c r="I11" s="339"/>
    </row>
    <row r="12" spans="1:10" ht="16.2" x14ac:dyDescent="0.3">
      <c r="A12" s="233" t="s">
        <v>240</v>
      </c>
      <c r="B12" s="225">
        <f>G63</f>
        <v>0.6</v>
      </c>
      <c r="C12" s="226">
        <v>0.05</v>
      </c>
      <c r="D12" s="214">
        <f>H63</f>
        <v>0.17</v>
      </c>
      <c r="E12" s="128" t="s">
        <v>86</v>
      </c>
      <c r="F12" s="222" t="s">
        <v>191</v>
      </c>
      <c r="G12" s="223" t="s">
        <v>86</v>
      </c>
      <c r="I12" s="339"/>
    </row>
    <row r="13" spans="1:10" x14ac:dyDescent="0.3">
      <c r="A13" s="233"/>
      <c r="B13" s="341"/>
      <c r="C13" s="338"/>
      <c r="D13" s="215"/>
      <c r="E13" s="295"/>
      <c r="F13" s="222"/>
      <c r="G13" s="223"/>
      <c r="I13" s="339"/>
    </row>
    <row r="14" spans="1:10" ht="16.2" x14ac:dyDescent="0.3">
      <c r="A14" s="218" t="s">
        <v>488</v>
      </c>
      <c r="B14" s="225">
        <f>B101</f>
        <v>0.71865443425076447</v>
      </c>
      <c r="C14" s="226">
        <f>B111</f>
        <v>0.51876665861560223</v>
      </c>
      <c r="D14" s="214">
        <f>C114</f>
        <v>1.2230000000000001E-2</v>
      </c>
      <c r="E14" s="121" t="s">
        <v>388</v>
      </c>
      <c r="F14" s="222" t="s">
        <v>411</v>
      </c>
      <c r="G14" s="223" t="s">
        <v>412</v>
      </c>
      <c r="I14" s="339"/>
    </row>
    <row r="15" spans="1:10" ht="16.2" x14ac:dyDescent="0.3">
      <c r="A15" s="218" t="s">
        <v>468</v>
      </c>
      <c r="B15" s="225">
        <f>E84</f>
        <v>2.5773999999999999</v>
      </c>
      <c r="C15" s="226">
        <f>'Underlag -Transporter-Drivmede '!C64</f>
        <v>0.23299926492998907</v>
      </c>
      <c r="D15" s="214">
        <f>B15*'Underlag -Transporter-Drivmede '!D76</f>
        <v>0.70363019999999998</v>
      </c>
      <c r="E15" s="128" t="s">
        <v>469</v>
      </c>
      <c r="F15" s="222" t="s">
        <v>414</v>
      </c>
      <c r="G15" s="223" t="s">
        <v>416</v>
      </c>
      <c r="I15" s="339"/>
    </row>
    <row r="16" spans="1:10" ht="15" thickBot="1" x14ac:dyDescent="0.35"/>
    <row r="17" spans="1:20" ht="18" x14ac:dyDescent="0.35">
      <c r="A17" s="449" t="s">
        <v>372</v>
      </c>
      <c r="B17" s="450"/>
      <c r="C17" s="450"/>
      <c r="D17" s="450"/>
      <c r="E17" s="450"/>
      <c r="F17" s="450"/>
      <c r="G17" s="450"/>
      <c r="H17" s="450"/>
      <c r="I17" s="450"/>
      <c r="J17" s="451"/>
    </row>
    <row r="18" spans="1:20" ht="58.2" customHeight="1" x14ac:dyDescent="0.3">
      <c r="A18" s="127" t="s">
        <v>194</v>
      </c>
      <c r="B18" s="46" t="s">
        <v>418</v>
      </c>
      <c r="C18" s="46" t="s">
        <v>214</v>
      </c>
      <c r="D18" s="46" t="s">
        <v>192</v>
      </c>
      <c r="E18" s="46" t="s">
        <v>90</v>
      </c>
      <c r="F18" s="46" t="s">
        <v>84</v>
      </c>
      <c r="G18" s="46" t="s">
        <v>241</v>
      </c>
      <c r="H18" s="46" t="s">
        <v>77</v>
      </c>
      <c r="I18" s="46" t="s">
        <v>373</v>
      </c>
      <c r="J18" s="47" t="s">
        <v>78</v>
      </c>
      <c r="K18" s="37"/>
    </row>
    <row r="19" spans="1:20" x14ac:dyDescent="0.3">
      <c r="A19" s="45" t="s">
        <v>69</v>
      </c>
      <c r="B19" s="234">
        <v>381556</v>
      </c>
      <c r="C19" s="235">
        <f>B19/$B$26</f>
        <v>0.57737855644768343</v>
      </c>
      <c r="D19" s="338">
        <f>'Underlag -Transporter-Drivmede '!C65</f>
        <v>5.6618107069443202E-2</v>
      </c>
      <c r="E19" s="216">
        <v>0.52</v>
      </c>
      <c r="F19" s="283">
        <f>321*E19</f>
        <v>166.92000000000002</v>
      </c>
      <c r="G19" s="133" t="s">
        <v>370</v>
      </c>
      <c r="H19" s="133" t="s">
        <v>375</v>
      </c>
      <c r="I19" s="133" t="s">
        <v>374</v>
      </c>
      <c r="J19" s="238" t="s">
        <v>380</v>
      </c>
    </row>
    <row r="20" spans="1:20" x14ac:dyDescent="0.3">
      <c r="A20" s="45" t="s">
        <v>70</v>
      </c>
      <c r="B20" s="234">
        <v>211279</v>
      </c>
      <c r="C20" s="235">
        <f t="shared" ref="C20:C25" si="0">B20/$B$26</f>
        <v>0.31971182219047822</v>
      </c>
      <c r="D20" s="338">
        <f>'Underlag -Transporter-Drivmede '!C64</f>
        <v>0.23299926492998907</v>
      </c>
      <c r="E20" s="216">
        <v>0.5</v>
      </c>
      <c r="F20" s="283">
        <f>273*E20</f>
        <v>136.5</v>
      </c>
      <c r="G20" s="133" t="s">
        <v>370</v>
      </c>
      <c r="H20" s="133" t="s">
        <v>375</v>
      </c>
      <c r="I20" s="133" t="s">
        <v>376</v>
      </c>
      <c r="J20" s="238" t="s">
        <v>381</v>
      </c>
    </row>
    <row r="21" spans="1:20" x14ac:dyDescent="0.3">
      <c r="A21" s="45" t="s">
        <v>71</v>
      </c>
      <c r="B21" s="234">
        <v>7944</v>
      </c>
      <c r="C21" s="235">
        <f t="shared" si="0"/>
        <v>1.2021027719182497E-2</v>
      </c>
      <c r="D21" s="338">
        <f>100%-1.1%</f>
        <v>0.98899999999999999</v>
      </c>
      <c r="E21" s="216">
        <v>0.15</v>
      </c>
      <c r="F21" s="283">
        <f>47*E21</f>
        <v>7.05</v>
      </c>
      <c r="G21" s="133" t="s">
        <v>370</v>
      </c>
      <c r="H21" s="128" t="s">
        <v>371</v>
      </c>
      <c r="I21" s="133" t="s">
        <v>377</v>
      </c>
      <c r="J21" s="238" t="s">
        <v>379</v>
      </c>
    </row>
    <row r="22" spans="1:20" x14ac:dyDescent="0.3">
      <c r="A22" s="45" t="s">
        <v>72</v>
      </c>
      <c r="B22" s="236">
        <v>14762</v>
      </c>
      <c r="C22" s="235">
        <f t="shared" si="0"/>
        <v>2.2338168578873618E-2</v>
      </c>
      <c r="D22" s="338">
        <f>D19</f>
        <v>5.6618107069443202E-2</v>
      </c>
      <c r="E22" s="216">
        <v>0.35</v>
      </c>
      <c r="F22" s="283">
        <v>84</v>
      </c>
      <c r="G22" s="133" t="s">
        <v>370</v>
      </c>
      <c r="H22" s="133" t="s">
        <v>195</v>
      </c>
      <c r="I22" s="133" t="s">
        <v>81</v>
      </c>
      <c r="J22" s="238" t="s">
        <v>382</v>
      </c>
    </row>
    <row r="23" spans="1:20" x14ac:dyDescent="0.3">
      <c r="A23" s="45" t="s">
        <v>73</v>
      </c>
      <c r="B23" s="236">
        <v>15699</v>
      </c>
      <c r="C23" s="235">
        <f t="shared" si="0"/>
        <v>2.3756056667100456E-2</v>
      </c>
      <c r="D23" s="338">
        <f>(0.3*D19)+(0.7*D21)</f>
        <v>0.70928543212083284</v>
      </c>
      <c r="E23" s="216">
        <f>(E21*0.7)+(E19*0.3)</f>
        <v>0.26100000000000001</v>
      </c>
      <c r="F23" s="283">
        <f>(F21*0.7)+(F22*0.3)</f>
        <v>30.134999999999998</v>
      </c>
      <c r="G23" s="133" t="s">
        <v>370</v>
      </c>
      <c r="H23" s="133" t="s">
        <v>82</v>
      </c>
      <c r="I23" s="133" t="s">
        <v>85</v>
      </c>
      <c r="J23" s="238" t="s">
        <v>85</v>
      </c>
      <c r="T23" s="119" t="s">
        <v>189</v>
      </c>
    </row>
    <row r="24" spans="1:20" x14ac:dyDescent="0.3">
      <c r="A24" s="45" t="s">
        <v>245</v>
      </c>
      <c r="B24" s="236">
        <v>23159</v>
      </c>
      <c r="C24" s="235">
        <f t="shared" si="0"/>
        <v>3.5044685416483819E-2</v>
      </c>
      <c r="D24" s="338">
        <f>'Underlag -Transporter-Drivmede '!C68</f>
        <v>0.73</v>
      </c>
      <c r="E24" s="216">
        <v>0.43</v>
      </c>
      <c r="F24" s="283">
        <f>175*E24</f>
        <v>75.25</v>
      </c>
      <c r="G24" s="133" t="s">
        <v>370</v>
      </c>
      <c r="H24" s="133" t="s">
        <v>375</v>
      </c>
      <c r="I24" s="133" t="s">
        <v>374</v>
      </c>
      <c r="J24" s="238" t="s">
        <v>383</v>
      </c>
      <c r="T24" s="119" t="s">
        <v>188</v>
      </c>
    </row>
    <row r="25" spans="1:20" ht="24" x14ac:dyDescent="0.3">
      <c r="A25" s="45" t="s">
        <v>74</v>
      </c>
      <c r="B25" s="236">
        <v>6443</v>
      </c>
      <c r="C25" s="235">
        <f t="shared" si="0"/>
        <v>9.7496829801979896E-3</v>
      </c>
      <c r="D25" s="338">
        <f>'Underlag -Transporter-Drivmede '!C69</f>
        <v>0.98</v>
      </c>
      <c r="E25" s="216">
        <v>0.59</v>
      </c>
      <c r="F25" s="283">
        <f>45*E25</f>
        <v>26.549999999999997</v>
      </c>
      <c r="G25" s="133" t="s">
        <v>370</v>
      </c>
      <c r="H25" s="133" t="s">
        <v>375</v>
      </c>
      <c r="I25" s="133" t="s">
        <v>374</v>
      </c>
      <c r="J25" s="238" t="s">
        <v>378</v>
      </c>
      <c r="T25" s="120">
        <f>T28/(T28+T30)</f>
        <v>0.13699498671103846</v>
      </c>
    </row>
    <row r="26" spans="1:20" x14ac:dyDescent="0.3">
      <c r="A26" s="122" t="s">
        <v>75</v>
      </c>
      <c r="B26" s="237">
        <f>SUM(B19:B25)</f>
        <v>660842</v>
      </c>
      <c r="C26" s="204"/>
      <c r="D26" s="204"/>
      <c r="E26" s="204"/>
      <c r="F26" s="204"/>
      <c r="G26" s="204"/>
      <c r="H26" s="204"/>
      <c r="I26" s="56"/>
      <c r="J26" s="123"/>
    </row>
    <row r="27" spans="1:20" ht="15" thickBot="1" x14ac:dyDescent="0.35">
      <c r="A27" s="118"/>
      <c r="D27" s="23"/>
      <c r="E27" s="23"/>
      <c r="F27" s="23"/>
      <c r="G27" s="23"/>
      <c r="H27" s="23"/>
      <c r="I27" s="23"/>
      <c r="J27" s="24"/>
      <c r="K27" s="2"/>
      <c r="T27" s="116" t="s">
        <v>186</v>
      </c>
    </row>
    <row r="28" spans="1:20" ht="15.6" thickTop="1" thickBot="1" x14ac:dyDescent="0.35">
      <c r="A28" s="243" t="s">
        <v>242</v>
      </c>
      <c r="B28" s="244"/>
      <c r="C28" s="244"/>
      <c r="D28" s="245">
        <f>(D19*C19+D20*C20+D21*C21+D22*C22+D23*C23+D24*C24+D25*C25)</f>
        <v>0.17232337631620828</v>
      </c>
      <c r="E28" s="246">
        <f>(E19*C19+E20*C20+E21*C21+E22*C22+E23*C23+E24*C24+E25*C25)</f>
        <v>0.49673613208603568</v>
      </c>
      <c r="F28" s="247">
        <f>(F19*C19+F20*C20+F21*C21+F22*C22+F23*C23+F24*C24+F25*C25)</f>
        <v>145.58970220567096</v>
      </c>
      <c r="G28" s="25"/>
      <c r="H28" s="44"/>
      <c r="I28" s="25"/>
      <c r="J28" s="26"/>
      <c r="T28" s="116">
        <f>(E19*0.018*B19)+(E20*0.233*B20)+(E21*0.97*B21)+(E22*0.22*B22)+(E23*0.68*B23)+(E24*0.82*B24)+(E25*0.95*B25)</f>
        <v>45041.317080000008</v>
      </c>
    </row>
    <row r="29" spans="1:20" ht="15.6" thickTop="1" thickBot="1" x14ac:dyDescent="0.35">
      <c r="T29" s="116" t="s">
        <v>187</v>
      </c>
    </row>
    <row r="30" spans="1:20" ht="18" x14ac:dyDescent="0.35">
      <c r="A30" s="460" t="s">
        <v>108</v>
      </c>
      <c r="B30" s="461"/>
      <c r="C30" s="461"/>
      <c r="D30" s="461"/>
      <c r="E30" s="461"/>
      <c r="F30" s="461"/>
      <c r="G30" s="461"/>
      <c r="H30" s="461"/>
      <c r="I30" s="461"/>
      <c r="J30" s="462"/>
      <c r="T30" s="117">
        <f>(E19*0.982*B19)+(E20*0.767*B20)+(E21*0.03*B21)+(E22*0.88*B22)+(E23*0.32*B23)+(E24*0.18*B24)+(E25*0.05*B25)</f>
        <v>283739.45192000002</v>
      </c>
    </row>
    <row r="31" spans="1:20" ht="63.75" customHeight="1" x14ac:dyDescent="0.3">
      <c r="A31" s="239"/>
      <c r="B31" s="240" t="s">
        <v>213</v>
      </c>
      <c r="C31" s="240" t="s">
        <v>243</v>
      </c>
      <c r="D31" s="240" t="s">
        <v>80</v>
      </c>
      <c r="E31" s="240" t="s">
        <v>90</v>
      </c>
      <c r="F31" s="240" t="s">
        <v>84</v>
      </c>
      <c r="G31" s="240" t="s">
        <v>211</v>
      </c>
      <c r="H31" s="240" t="s">
        <v>77</v>
      </c>
      <c r="I31" s="240" t="s">
        <v>79</v>
      </c>
      <c r="J31" s="241" t="s">
        <v>78</v>
      </c>
      <c r="K31" s="37"/>
    </row>
    <row r="32" spans="1:20" x14ac:dyDescent="0.3">
      <c r="A32" s="45" t="s">
        <v>69</v>
      </c>
      <c r="B32" s="234">
        <v>1155</v>
      </c>
      <c r="C32" s="235">
        <f>B32/B40</f>
        <v>6.8537859007832894E-2</v>
      </c>
      <c r="D32" s="338">
        <f t="shared" ref="D32" si="1">D19</f>
        <v>5.6618107069443202E-2</v>
      </c>
      <c r="E32" s="133">
        <v>0.53</v>
      </c>
      <c r="F32" s="283">
        <f>321*E32</f>
        <v>170.13</v>
      </c>
      <c r="G32" s="133" t="s">
        <v>318</v>
      </c>
      <c r="H32" s="133" t="s">
        <v>193</v>
      </c>
      <c r="I32" s="133" t="s">
        <v>319</v>
      </c>
      <c r="J32" s="238" t="s">
        <v>380</v>
      </c>
    </row>
    <row r="33" spans="1:11" x14ac:dyDescent="0.3">
      <c r="A33" s="45" t="s">
        <v>70</v>
      </c>
      <c r="B33" s="234">
        <v>10918</v>
      </c>
      <c r="C33" s="235">
        <f>B33/B40</f>
        <v>0.64787562307144553</v>
      </c>
      <c r="D33" s="338">
        <f>D20</f>
        <v>0.23299926492998907</v>
      </c>
      <c r="E33" s="133">
        <v>0.41799999999999998</v>
      </c>
      <c r="F33" s="283">
        <f>273*E33</f>
        <v>114.11399999999999</v>
      </c>
      <c r="G33" s="133" t="s">
        <v>212</v>
      </c>
      <c r="H33" s="133" t="s">
        <v>193</v>
      </c>
      <c r="I33" s="133" t="s">
        <v>329</v>
      </c>
      <c r="J33" s="238" t="s">
        <v>381</v>
      </c>
    </row>
    <row r="34" spans="1:11" x14ac:dyDescent="0.3">
      <c r="A34" s="45" t="s">
        <v>71</v>
      </c>
      <c r="B34" s="234">
        <v>321</v>
      </c>
      <c r="C34" s="235">
        <f>B34/B40</f>
        <v>1.9048184191787325E-2</v>
      </c>
      <c r="D34" s="338">
        <f>D21</f>
        <v>0.98899999999999999</v>
      </c>
      <c r="E34" s="133">
        <v>0.19</v>
      </c>
      <c r="F34" s="283">
        <f>E34*47</f>
        <v>8.93</v>
      </c>
      <c r="G34" s="133" t="s">
        <v>212</v>
      </c>
      <c r="H34" s="128" t="s">
        <v>76</v>
      </c>
      <c r="I34" s="133" t="s">
        <v>321</v>
      </c>
      <c r="J34" s="238" t="s">
        <v>379</v>
      </c>
    </row>
    <row r="35" spans="1:11" x14ac:dyDescent="0.3">
      <c r="A35" s="45" t="s">
        <v>323</v>
      </c>
      <c r="B35" s="236">
        <v>1677</v>
      </c>
      <c r="C35" s="235">
        <f>B35/B40</f>
        <v>9.951341087111322E-2</v>
      </c>
      <c r="D35" s="338">
        <f>D32</f>
        <v>5.6618107069443202E-2</v>
      </c>
      <c r="E35" s="133">
        <v>0.313</v>
      </c>
      <c r="F35" s="283">
        <f>E35*321</f>
        <v>100.473</v>
      </c>
      <c r="G35" s="133" t="s">
        <v>212</v>
      </c>
      <c r="H35" s="133" t="s">
        <v>195</v>
      </c>
      <c r="I35" s="133" t="s">
        <v>320</v>
      </c>
      <c r="J35" s="238" t="s">
        <v>382</v>
      </c>
    </row>
    <row r="36" spans="1:11" x14ac:dyDescent="0.3">
      <c r="A36" s="45" t="s">
        <v>322</v>
      </c>
      <c r="B36" s="236">
        <v>162</v>
      </c>
      <c r="C36" s="235">
        <f>B36/B40</f>
        <v>9.6131023023973416E-3</v>
      </c>
      <c r="D36" s="338">
        <f>(D33+D34)/2</f>
        <v>0.61099963246499456</v>
      </c>
      <c r="E36" s="133">
        <f>0.365</f>
        <v>0.36499999999999999</v>
      </c>
      <c r="F36" s="283">
        <v>87</v>
      </c>
      <c r="G36" s="133" t="s">
        <v>212</v>
      </c>
      <c r="H36" s="133" t="s">
        <v>324</v>
      </c>
      <c r="I36" s="133" t="s">
        <v>325</v>
      </c>
      <c r="J36" s="238" t="s">
        <v>326</v>
      </c>
    </row>
    <row r="37" spans="1:11" x14ac:dyDescent="0.3">
      <c r="A37" s="45" t="s">
        <v>83</v>
      </c>
      <c r="B37">
        <v>13</v>
      </c>
      <c r="C37" s="235">
        <f>B37/B40</f>
        <v>7.714217896985521E-4</v>
      </c>
      <c r="D37" s="338">
        <f>D24</f>
        <v>0.73</v>
      </c>
      <c r="E37" s="133">
        <v>0.61599999999999999</v>
      </c>
      <c r="F37" s="283">
        <f>E37*175</f>
        <v>107.8</v>
      </c>
      <c r="G37" s="133" t="s">
        <v>212</v>
      </c>
      <c r="H37" s="133" t="s">
        <v>193</v>
      </c>
      <c r="I37" s="133" t="s">
        <v>327</v>
      </c>
      <c r="J37" s="238" t="s">
        <v>383</v>
      </c>
    </row>
    <row r="38" spans="1:11" ht="24" x14ac:dyDescent="0.3">
      <c r="A38" s="45" t="s">
        <v>74</v>
      </c>
      <c r="B38" s="236">
        <v>2606</v>
      </c>
      <c r="C38" s="235">
        <f>B38/B40</f>
        <v>0.15464039876572513</v>
      </c>
      <c r="D38" s="338">
        <f>D25</f>
        <v>0.98</v>
      </c>
      <c r="E38" s="133">
        <v>0.47599999999999998</v>
      </c>
      <c r="F38" s="283">
        <f>E38*45</f>
        <v>21.419999999999998</v>
      </c>
      <c r="G38" s="133" t="s">
        <v>212</v>
      </c>
      <c r="H38" s="133" t="s">
        <v>193</v>
      </c>
      <c r="I38" s="133" t="s">
        <v>328</v>
      </c>
      <c r="J38" s="238" t="s">
        <v>384</v>
      </c>
    </row>
    <row r="39" spans="1:11" x14ac:dyDescent="0.3">
      <c r="A39" s="43" t="s">
        <v>92</v>
      </c>
      <c r="B39" s="42"/>
      <c r="C39" s="64"/>
      <c r="D39" s="65"/>
      <c r="E39" s="23"/>
      <c r="F39" s="23"/>
      <c r="G39" s="23"/>
      <c r="H39" s="23"/>
      <c r="I39" s="23"/>
      <c r="J39" s="24"/>
    </row>
    <row r="40" spans="1:11" ht="15" thickBot="1" x14ac:dyDescent="0.35">
      <c r="A40" s="217" t="s">
        <v>185</v>
      </c>
      <c r="B40" s="242">
        <f>SUM(B32:B38)</f>
        <v>16852</v>
      </c>
      <c r="C40" s="23"/>
      <c r="D40" s="23"/>
      <c r="E40" s="23"/>
      <c r="F40" s="23"/>
      <c r="G40" s="23"/>
      <c r="H40" s="23"/>
      <c r="I40" s="23"/>
      <c r="J40" s="24"/>
      <c r="K40" s="2"/>
    </row>
    <row r="41" spans="1:11" ht="15.6" thickTop="1" thickBot="1" x14ac:dyDescent="0.35">
      <c r="A41" s="243" t="s">
        <v>244</v>
      </c>
      <c r="B41" s="244"/>
      <c r="C41" s="244"/>
      <c r="D41" s="245">
        <f>(D32*C32+D33*C33+D34*C34+D35*C35+D36*C36+D37*C37+D38*C38)</f>
        <v>0.33729227356904901</v>
      </c>
      <c r="E41" s="248">
        <f>(E32*C32+E33*C33+E34*C34+E35*C35+E36*C36+E37*C37+E38*C38)</f>
        <v>0.41949673629242823</v>
      </c>
      <c r="F41" s="249">
        <f>(F32*C32+F33*C33+F34*C34+F35*C35+F36*C36+F37*C37+F38*C38)</f>
        <v>99.992432530263457</v>
      </c>
      <c r="G41" s="25"/>
      <c r="H41" s="44"/>
      <c r="I41" s="25"/>
      <c r="J41" s="26"/>
    </row>
    <row r="42" spans="1:11" ht="15" thickTop="1" x14ac:dyDescent="0.3"/>
    <row r="43" spans="1:11" ht="43.2" x14ac:dyDescent="0.3">
      <c r="A43" s="240" t="s">
        <v>261</v>
      </c>
      <c r="B43" s="240"/>
      <c r="C43" s="240"/>
      <c r="D43" s="240" t="s">
        <v>80</v>
      </c>
      <c r="E43" s="240" t="s">
        <v>90</v>
      </c>
      <c r="F43" s="240" t="s">
        <v>84</v>
      </c>
      <c r="G43" s="240"/>
      <c r="H43" s="240" t="s">
        <v>77</v>
      </c>
      <c r="I43" s="240" t="s">
        <v>79</v>
      </c>
      <c r="J43" s="241" t="s">
        <v>78</v>
      </c>
    </row>
    <row r="44" spans="1:11" x14ac:dyDescent="0.3">
      <c r="A44" s="38" t="s">
        <v>451</v>
      </c>
      <c r="B44" s="38"/>
      <c r="C44" s="38"/>
      <c r="D44" s="265">
        <v>0.7</v>
      </c>
      <c r="E44" s="38">
        <f>E33</f>
        <v>0.41799999999999998</v>
      </c>
      <c r="F44" s="266">
        <f>E44*'Underlag -Transporter-Drivmede '!F101*1000</f>
        <v>65.608443999999992</v>
      </c>
      <c r="G44" s="38"/>
      <c r="H44" s="38" t="s">
        <v>453</v>
      </c>
      <c r="I44" s="38" t="s">
        <v>253</v>
      </c>
      <c r="J44" s="38" t="s">
        <v>254</v>
      </c>
    </row>
    <row r="45" spans="1:11" x14ac:dyDescent="0.3">
      <c r="A45" s="38" t="s">
        <v>452</v>
      </c>
      <c r="B45" s="38"/>
      <c r="C45" s="38"/>
      <c r="D45" s="265">
        <v>1</v>
      </c>
      <c r="E45" s="38">
        <f>E33</f>
        <v>0.41799999999999998</v>
      </c>
      <c r="F45" s="266">
        <f>(E45*'Underlag -Transporter-Drivmede '!F19)*1000</f>
        <v>30.513999999999996</v>
      </c>
      <c r="G45" s="38"/>
      <c r="H45" s="38" t="s">
        <v>256</v>
      </c>
      <c r="I45" s="38" t="s">
        <v>253</v>
      </c>
      <c r="J45" s="38" t="s">
        <v>257</v>
      </c>
    </row>
    <row r="46" spans="1:11" x14ac:dyDescent="0.3">
      <c r="A46" s="269" t="s">
        <v>447</v>
      </c>
      <c r="B46" s="38"/>
      <c r="C46" s="38"/>
      <c r="D46" s="265">
        <v>1</v>
      </c>
      <c r="E46" s="133">
        <f>E38</f>
        <v>0.47599999999999998</v>
      </c>
      <c r="F46" s="266">
        <f>(E46*'Underlag -Transporter-Drivmede '!F23)*1000</f>
        <v>21.419999999999998</v>
      </c>
      <c r="G46" s="38"/>
      <c r="H46" s="38" t="s">
        <v>259</v>
      </c>
      <c r="I46" s="38" t="s">
        <v>215</v>
      </c>
      <c r="J46" s="38" t="s">
        <v>258</v>
      </c>
    </row>
    <row r="47" spans="1:11" x14ac:dyDescent="0.3">
      <c r="A47" s="269" t="s">
        <v>450</v>
      </c>
      <c r="B47" s="38"/>
      <c r="C47" s="38"/>
      <c r="D47" s="265">
        <v>1</v>
      </c>
      <c r="E47" s="270">
        <f>B14</f>
        <v>0.71865443425076447</v>
      </c>
      <c r="F47" s="266">
        <f>(E47*'Underlag -Transporter-Drivmede '!F19)*1000</f>
        <v>52.461773700305805</v>
      </c>
      <c r="G47" s="38"/>
      <c r="H47" s="38" t="s">
        <v>256</v>
      </c>
      <c r="I47" s="269" t="s">
        <v>260</v>
      </c>
      <c r="J47" s="38" t="s">
        <v>257</v>
      </c>
    </row>
    <row r="48" spans="1:11" x14ac:dyDescent="0.3">
      <c r="A48" s="269" t="s">
        <v>470</v>
      </c>
      <c r="B48" s="38"/>
      <c r="C48" s="38"/>
      <c r="D48" s="265">
        <v>1</v>
      </c>
      <c r="E48" s="270">
        <f>B14</f>
        <v>0.71865443425076447</v>
      </c>
      <c r="F48" s="266">
        <f>(E47*'Underlag -Transporter-Drivmede '!F23)*1000</f>
        <v>32.339449541284395</v>
      </c>
      <c r="G48" s="38"/>
      <c r="H48" s="38" t="s">
        <v>256</v>
      </c>
      <c r="I48" s="269" t="s">
        <v>260</v>
      </c>
      <c r="J48" s="269" t="s">
        <v>471</v>
      </c>
    </row>
    <row r="49" spans="1:10" x14ac:dyDescent="0.3">
      <c r="A49" s="269" t="s">
        <v>472</v>
      </c>
      <c r="B49" s="38"/>
      <c r="C49" s="38"/>
      <c r="D49" s="265">
        <v>1</v>
      </c>
      <c r="E49" s="270">
        <f>B15</f>
        <v>2.5773999999999999</v>
      </c>
      <c r="F49" s="266">
        <f>(E49*'Underlag -Transporter-Drivmede '!F19)*1000</f>
        <v>188.15019999999998</v>
      </c>
      <c r="G49" s="38"/>
      <c r="H49" s="38" t="s">
        <v>256</v>
      </c>
      <c r="I49" s="269" t="s">
        <v>469</v>
      </c>
      <c r="J49" s="269" t="s">
        <v>257</v>
      </c>
    </row>
    <row r="50" spans="1:10" ht="15" thickBot="1" x14ac:dyDescent="0.35"/>
    <row r="51" spans="1:10" ht="18" x14ac:dyDescent="0.35">
      <c r="A51" s="454" t="s">
        <v>226</v>
      </c>
      <c r="B51" s="455"/>
      <c r="C51" s="455"/>
      <c r="D51" s="455"/>
      <c r="E51" s="455"/>
      <c r="F51" s="455"/>
      <c r="G51" s="455"/>
      <c r="H51" s="456"/>
    </row>
    <row r="52" spans="1:10" x14ac:dyDescent="0.3">
      <c r="A52" s="457" t="s">
        <v>330</v>
      </c>
      <c r="B52" s="458"/>
      <c r="C52" s="458"/>
      <c r="D52" s="458"/>
      <c r="E52" s="458"/>
      <c r="F52" s="458"/>
      <c r="G52" s="458"/>
      <c r="H52" s="459"/>
    </row>
    <row r="53" spans="1:10" x14ac:dyDescent="0.3">
      <c r="A53" s="57"/>
      <c r="B53" s="58"/>
      <c r="C53" s="58"/>
      <c r="D53" s="58"/>
      <c r="E53" s="58"/>
      <c r="F53" s="58"/>
      <c r="G53" s="58"/>
      <c r="H53" s="59"/>
      <c r="J53" s="48"/>
    </row>
    <row r="54" spans="1:10" ht="43.2" x14ac:dyDescent="0.3">
      <c r="A54" s="60"/>
      <c r="B54" s="61"/>
      <c r="C54" s="61"/>
      <c r="D54" s="61"/>
      <c r="E54" s="61"/>
      <c r="F54" s="62" t="s">
        <v>87</v>
      </c>
      <c r="G54" s="62" t="s">
        <v>88</v>
      </c>
      <c r="H54" s="63" t="s">
        <v>62</v>
      </c>
    </row>
    <row r="55" spans="1:10" x14ac:dyDescent="0.3">
      <c r="A55" s="49"/>
      <c r="B55" s="38"/>
      <c r="C55" s="38"/>
      <c r="D55" s="38"/>
      <c r="E55" s="38"/>
      <c r="F55" s="50">
        <f>1/3.6</f>
        <v>0.27777777777777779</v>
      </c>
      <c r="G55" s="51">
        <f>F55*3.4</f>
        <v>0.94444444444444442</v>
      </c>
      <c r="H55" s="52">
        <v>0.24</v>
      </c>
    </row>
    <row r="56" spans="1:10" x14ac:dyDescent="0.3">
      <c r="A56" s="49"/>
      <c r="B56" s="38"/>
      <c r="C56" s="38"/>
      <c r="D56" s="38"/>
      <c r="E56" s="38"/>
      <c r="F56" s="50">
        <f t="shared" ref="F56:F58" si="2">1/3.6</f>
        <v>0.27777777777777779</v>
      </c>
      <c r="G56" s="50">
        <f>F56*3.1</f>
        <v>0.86111111111111116</v>
      </c>
      <c r="H56" s="41">
        <v>0.22</v>
      </c>
    </row>
    <row r="57" spans="1:10" x14ac:dyDescent="0.3">
      <c r="A57" s="49"/>
      <c r="B57" s="38"/>
      <c r="C57" s="38"/>
      <c r="D57" s="38"/>
      <c r="E57" s="38"/>
      <c r="F57" s="50">
        <f t="shared" si="2"/>
        <v>0.27777777777777779</v>
      </c>
      <c r="G57" s="50">
        <f>F57*1.52</f>
        <v>0.42222222222222222</v>
      </c>
      <c r="H57" s="41">
        <v>0.15</v>
      </c>
    </row>
    <row r="58" spans="1:10" x14ac:dyDescent="0.3">
      <c r="A58" s="49"/>
      <c r="B58" s="38"/>
      <c r="C58" s="38"/>
      <c r="D58" s="38"/>
      <c r="E58" s="38"/>
      <c r="F58" s="50">
        <f t="shared" si="2"/>
        <v>0.27777777777777779</v>
      </c>
      <c r="G58" s="50">
        <f>F58*2</f>
        <v>0.55555555555555558</v>
      </c>
      <c r="H58" s="41">
        <v>0.14000000000000001</v>
      </c>
    </row>
    <row r="59" spans="1:10" ht="15" thickBot="1" x14ac:dyDescent="0.35">
      <c r="A59" s="452" t="s">
        <v>89</v>
      </c>
      <c r="B59" s="453"/>
      <c r="C59" s="453"/>
      <c r="D59" s="453"/>
      <c r="E59" s="453"/>
      <c r="F59" s="53"/>
      <c r="G59" s="54">
        <f>(G58+G57)/2</f>
        <v>0.48888888888888893</v>
      </c>
      <c r="H59" s="55">
        <f>(H58+H57)/2</f>
        <v>0.14500000000000002</v>
      </c>
    </row>
    <row r="60" spans="1:10" ht="15" thickBot="1" x14ac:dyDescent="0.35">
      <c r="A60" s="132"/>
      <c r="B60" s="132"/>
      <c r="C60" s="132"/>
      <c r="D60" s="132"/>
      <c r="E60" s="132"/>
      <c r="F60" s="134"/>
      <c r="G60" s="135"/>
      <c r="H60" s="136"/>
    </row>
    <row r="61" spans="1:10" ht="18.600000000000001" thickTop="1" x14ac:dyDescent="0.35">
      <c r="A61" s="137" t="s">
        <v>340</v>
      </c>
      <c r="B61" s="138"/>
      <c r="C61" s="138"/>
      <c r="D61" s="138"/>
      <c r="E61" s="138"/>
      <c r="F61" s="139"/>
      <c r="G61" s="139"/>
      <c r="H61" s="140"/>
    </row>
    <row r="62" spans="1:10" ht="44.4" thickBot="1" x14ac:dyDescent="0.4">
      <c r="A62" s="141"/>
      <c r="B62" s="142"/>
      <c r="C62" s="142"/>
      <c r="D62" s="142"/>
      <c r="E62" s="142"/>
      <c r="F62" s="143"/>
      <c r="G62" s="144" t="s">
        <v>88</v>
      </c>
      <c r="H62" s="145" t="s">
        <v>62</v>
      </c>
    </row>
    <row r="63" spans="1:10" ht="15" thickBot="1" x14ac:dyDescent="0.35">
      <c r="A63" s="250" t="s">
        <v>190</v>
      </c>
      <c r="B63" s="251"/>
      <c r="C63" s="251"/>
      <c r="D63" s="251"/>
      <c r="E63" s="251"/>
      <c r="F63" s="251"/>
      <c r="G63" s="252">
        <v>0.6</v>
      </c>
      <c r="H63" s="253">
        <v>0.17</v>
      </c>
    </row>
    <row r="64" spans="1:10" ht="15.6" thickTop="1" thickBot="1" x14ac:dyDescent="0.35"/>
    <row r="65" spans="1:7" ht="18.600000000000001" thickTop="1" x14ac:dyDescent="0.35">
      <c r="A65" s="447" t="s">
        <v>335</v>
      </c>
      <c r="B65" s="448"/>
      <c r="C65" s="448"/>
      <c r="D65" s="448"/>
      <c r="E65" s="448"/>
      <c r="F65" s="448"/>
      <c r="G65" s="467"/>
    </row>
    <row r="66" spans="1:7" x14ac:dyDescent="0.3">
      <c r="A66" s="446" t="s">
        <v>339</v>
      </c>
      <c r="B66" s="446"/>
      <c r="C66" s="446"/>
      <c r="D66" s="446"/>
      <c r="E66" s="446"/>
      <c r="F66" s="446"/>
      <c r="G66" s="468"/>
    </row>
    <row r="67" spans="1:7" x14ac:dyDescent="0.3">
      <c r="A67" s="288" t="s">
        <v>336</v>
      </c>
      <c r="B67" s="281"/>
      <c r="C67" s="281"/>
      <c r="D67" s="281"/>
      <c r="E67" s="281"/>
      <c r="F67" s="281"/>
      <c r="G67" s="468"/>
    </row>
    <row r="68" spans="1:7" x14ac:dyDescent="0.3">
      <c r="A68" s="71" t="s">
        <v>102</v>
      </c>
      <c r="B68" s="72" t="s">
        <v>103</v>
      </c>
      <c r="C68" s="72" t="s">
        <v>104</v>
      </c>
      <c r="D68" s="72" t="s">
        <v>105</v>
      </c>
      <c r="E68" s="72" t="s">
        <v>106</v>
      </c>
      <c r="F68" s="463" t="s">
        <v>107</v>
      </c>
      <c r="G68" s="469" t="s">
        <v>3</v>
      </c>
    </row>
    <row r="69" spans="1:7" ht="14.25" customHeight="1" x14ac:dyDescent="0.3">
      <c r="A69" s="284" t="s">
        <v>331</v>
      </c>
      <c r="B69" s="284" t="s">
        <v>332</v>
      </c>
      <c r="C69" s="284" t="s">
        <v>333</v>
      </c>
      <c r="D69" s="285">
        <v>42735</v>
      </c>
      <c r="E69" s="286">
        <v>2016</v>
      </c>
      <c r="F69" s="287">
        <v>49.2</v>
      </c>
      <c r="G69" s="466"/>
    </row>
    <row r="70" spans="1:7" x14ac:dyDescent="0.3">
      <c r="A70" s="284" t="s">
        <v>331</v>
      </c>
      <c r="B70" s="284" t="s">
        <v>332</v>
      </c>
      <c r="C70" s="284" t="s">
        <v>333</v>
      </c>
      <c r="D70" s="285">
        <v>43100</v>
      </c>
      <c r="E70" s="286">
        <v>2017</v>
      </c>
      <c r="F70" s="287">
        <v>49.5</v>
      </c>
      <c r="G70" s="465"/>
    </row>
    <row r="71" spans="1:7" x14ac:dyDescent="0.3">
      <c r="A71" s="284" t="s">
        <v>331</v>
      </c>
      <c r="B71" s="284" t="s">
        <v>332</v>
      </c>
      <c r="C71" s="284" t="s">
        <v>333</v>
      </c>
      <c r="D71" s="285">
        <v>43465</v>
      </c>
      <c r="E71" s="286">
        <v>2018</v>
      </c>
      <c r="F71" s="287">
        <v>50.85</v>
      </c>
      <c r="G71" s="465"/>
    </row>
    <row r="72" spans="1:7" x14ac:dyDescent="0.3">
      <c r="A72" s="284" t="s">
        <v>331</v>
      </c>
      <c r="B72" s="284" t="s">
        <v>332</v>
      </c>
      <c r="C72" s="284" t="s">
        <v>333</v>
      </c>
      <c r="D72" s="285">
        <v>43830</v>
      </c>
      <c r="E72" s="286">
        <v>2019</v>
      </c>
      <c r="F72" s="287">
        <v>50.63</v>
      </c>
      <c r="G72" s="465"/>
    </row>
    <row r="73" spans="1:7" x14ac:dyDescent="0.3">
      <c r="A73" s="284" t="s">
        <v>331</v>
      </c>
      <c r="B73" s="284" t="s">
        <v>332</v>
      </c>
      <c r="C73" s="284" t="s">
        <v>333</v>
      </c>
      <c r="D73" s="285">
        <v>44196</v>
      </c>
      <c r="E73" s="286">
        <v>2020</v>
      </c>
      <c r="F73" s="287">
        <v>46.606000000000002</v>
      </c>
      <c r="G73" s="465"/>
    </row>
    <row r="74" spans="1:7" ht="14.25" customHeight="1" thickBot="1" x14ac:dyDescent="0.35">
      <c r="A74" s="254" t="s">
        <v>334</v>
      </c>
      <c r="B74" s="255"/>
      <c r="C74" s="255"/>
      <c r="D74" s="255"/>
      <c r="E74" s="255"/>
      <c r="F74" s="464">
        <f>SUM(F71:F73)/3</f>
        <v>49.362000000000002</v>
      </c>
      <c r="G74" s="350" t="s">
        <v>208</v>
      </c>
    </row>
    <row r="75" spans="1:7" ht="15" thickBot="1" x14ac:dyDescent="0.35"/>
    <row r="76" spans="1:7" s="3" customFormat="1" ht="18" x14ac:dyDescent="0.35">
      <c r="A76" s="440" t="s">
        <v>390</v>
      </c>
      <c r="B76" s="441"/>
      <c r="C76" s="441"/>
      <c r="D76" s="441"/>
      <c r="E76" s="441"/>
      <c r="F76" s="442"/>
    </row>
    <row r="77" spans="1:7" s="3" customFormat="1" x14ac:dyDescent="0.3">
      <c r="A77" s="443" t="s">
        <v>338</v>
      </c>
      <c r="B77" s="444"/>
      <c r="C77" s="444"/>
      <c r="D77" s="444"/>
      <c r="E77" s="444"/>
      <c r="F77" s="445"/>
    </row>
    <row r="78" spans="1:7" s="3" customFormat="1" x14ac:dyDescent="0.3">
      <c r="A78" s="431" t="s">
        <v>337</v>
      </c>
      <c r="B78" s="432"/>
      <c r="C78" s="432"/>
      <c r="D78" s="432"/>
      <c r="E78" s="432"/>
      <c r="F78" s="433"/>
    </row>
    <row r="79" spans="1:7" s="3" customFormat="1" x14ac:dyDescent="0.3">
      <c r="A79" s="291"/>
      <c r="B79" s="289"/>
      <c r="C79" s="289"/>
      <c r="D79" s="289"/>
      <c r="E79" s="289"/>
      <c r="F79" s="290"/>
    </row>
    <row r="80" spans="1:7" ht="15.6" x14ac:dyDescent="0.3">
      <c r="A80" s="434" t="s">
        <v>93</v>
      </c>
      <c r="B80" s="435"/>
      <c r="C80" s="435"/>
      <c r="D80" s="435"/>
      <c r="E80" s="435"/>
      <c r="F80" s="436"/>
    </row>
    <row r="81" spans="1:6" x14ac:dyDescent="0.3">
      <c r="A81" s="292" t="s">
        <v>69</v>
      </c>
      <c r="B81" s="271" t="s">
        <v>69</v>
      </c>
      <c r="C81" s="271" t="s">
        <v>70</v>
      </c>
      <c r="D81" s="271" t="s">
        <v>110</v>
      </c>
      <c r="E81" s="271" t="s">
        <v>111</v>
      </c>
      <c r="F81" s="41"/>
    </row>
    <row r="82" spans="1:6" x14ac:dyDescent="0.3">
      <c r="A82" s="49" t="s">
        <v>94</v>
      </c>
      <c r="B82" s="38">
        <v>7.8</v>
      </c>
      <c r="C82" s="38">
        <v>5.7</v>
      </c>
      <c r="D82" s="38">
        <v>6.8</v>
      </c>
      <c r="E82" s="38"/>
      <c r="F82" s="41"/>
    </row>
    <row r="83" spans="1:6" x14ac:dyDescent="0.3">
      <c r="A83" s="49" t="s">
        <v>95</v>
      </c>
      <c r="B83" s="38">
        <v>8.1999999999999993</v>
      </c>
      <c r="C83" s="38">
        <v>7.4</v>
      </c>
      <c r="D83" s="38">
        <v>7.4</v>
      </c>
      <c r="E83" s="38"/>
      <c r="F83" s="41"/>
    </row>
    <row r="84" spans="1:6" x14ac:dyDescent="0.3">
      <c r="A84" s="49" t="s">
        <v>96</v>
      </c>
      <c r="B84" s="38"/>
      <c r="C84" s="38">
        <v>26.3</v>
      </c>
      <c r="D84" s="38">
        <v>26.3</v>
      </c>
      <c r="E84" s="75">
        <f>(D84*'Underlag -Transporter-Drivmede '!E34)/100</f>
        <v>2.5773999999999999</v>
      </c>
      <c r="F84" s="41"/>
    </row>
    <row r="85" spans="1:6" x14ac:dyDescent="0.3">
      <c r="A85" s="49" t="s">
        <v>97</v>
      </c>
      <c r="B85" s="38"/>
      <c r="C85" s="38">
        <v>41.4</v>
      </c>
      <c r="D85" s="38">
        <v>41.4</v>
      </c>
      <c r="E85" s="38"/>
      <c r="F85" s="41"/>
    </row>
    <row r="86" spans="1:6" x14ac:dyDescent="0.3">
      <c r="A86" s="49" t="s">
        <v>98</v>
      </c>
      <c r="B86" s="38">
        <v>20</v>
      </c>
      <c r="C86" s="38">
        <v>23</v>
      </c>
      <c r="D86" s="38">
        <v>23</v>
      </c>
      <c r="E86" s="38"/>
      <c r="F86" s="41"/>
    </row>
    <row r="87" spans="1:6" x14ac:dyDescent="0.3">
      <c r="A87" s="49" t="s">
        <v>99</v>
      </c>
      <c r="B87" s="38"/>
      <c r="C87" s="38">
        <v>33.200000000000003</v>
      </c>
      <c r="D87" s="38">
        <v>33.200000000000003</v>
      </c>
      <c r="E87" s="38"/>
      <c r="F87" s="41"/>
    </row>
    <row r="88" spans="1:6" x14ac:dyDescent="0.3">
      <c r="A88" s="49" t="s">
        <v>100</v>
      </c>
      <c r="B88" s="38">
        <v>4.8</v>
      </c>
      <c r="C88" s="38"/>
      <c r="D88" s="38">
        <v>4.8</v>
      </c>
      <c r="E88" s="38"/>
      <c r="F88" s="41"/>
    </row>
    <row r="89" spans="1:6" ht="15" thickBot="1" x14ac:dyDescent="0.35">
      <c r="A89" s="73" t="s">
        <v>101</v>
      </c>
      <c r="B89" s="70">
        <v>2.5</v>
      </c>
      <c r="C89" s="70"/>
      <c r="D89" s="70">
        <v>2.5</v>
      </c>
      <c r="E89" s="70"/>
      <c r="F89" s="74"/>
    </row>
    <row r="90" spans="1:6" x14ac:dyDescent="0.3">
      <c r="A90" s="1"/>
      <c r="B90" s="23"/>
      <c r="C90" s="23"/>
      <c r="D90" s="23"/>
      <c r="E90" s="23"/>
      <c r="F90" s="24"/>
    </row>
    <row r="91" spans="1:6" ht="15.6" x14ac:dyDescent="0.3">
      <c r="A91" s="437" t="s">
        <v>415</v>
      </c>
      <c r="B91" s="438"/>
      <c r="C91" s="438"/>
      <c r="D91" s="438"/>
      <c r="E91" s="438"/>
      <c r="F91" s="439"/>
    </row>
    <row r="92" spans="1:6" x14ac:dyDescent="0.3">
      <c r="A92" s="292" t="s">
        <v>341</v>
      </c>
      <c r="B92" s="271" t="s">
        <v>342</v>
      </c>
      <c r="C92" s="38"/>
      <c r="D92" s="38"/>
      <c r="E92" s="38"/>
      <c r="F92" s="41"/>
    </row>
    <row r="93" spans="1:6" ht="15" thickBot="1" x14ac:dyDescent="0.35">
      <c r="A93" s="73" t="s">
        <v>96</v>
      </c>
      <c r="B93" s="351">
        <v>0.27</v>
      </c>
      <c r="C93" s="70"/>
      <c r="D93" s="70"/>
      <c r="E93" s="70"/>
      <c r="F93" s="74"/>
    </row>
    <row r="94" spans="1:6" ht="15" thickBot="1" x14ac:dyDescent="0.35"/>
    <row r="95" spans="1:6" ht="18.600000000000001" thickTop="1" x14ac:dyDescent="0.35">
      <c r="A95" s="425" t="s">
        <v>389</v>
      </c>
      <c r="B95" s="426"/>
      <c r="C95" s="426"/>
      <c r="D95" s="426"/>
      <c r="E95" s="426"/>
      <c r="F95" s="427"/>
    </row>
    <row r="96" spans="1:6" x14ac:dyDescent="0.3">
      <c r="A96" s="428" t="s">
        <v>391</v>
      </c>
      <c r="B96" s="429"/>
      <c r="C96" s="429"/>
      <c r="D96" s="429"/>
      <c r="E96" s="429"/>
      <c r="F96" s="430"/>
    </row>
    <row r="97" spans="1:6" x14ac:dyDescent="0.3">
      <c r="A97" s="428" t="s">
        <v>392</v>
      </c>
      <c r="B97" s="429"/>
      <c r="C97" s="429"/>
      <c r="D97" s="429"/>
      <c r="E97" s="429"/>
      <c r="F97" s="430"/>
    </row>
    <row r="98" spans="1:6" x14ac:dyDescent="0.3">
      <c r="A98" s="344"/>
      <c r="B98" s="38"/>
      <c r="C98" s="38"/>
      <c r="D98" s="38"/>
      <c r="E98" s="38"/>
      <c r="F98" s="345"/>
    </row>
    <row r="99" spans="1:6" x14ac:dyDescent="0.3">
      <c r="A99" s="346" t="s">
        <v>393</v>
      </c>
      <c r="B99" s="274">
        <v>32700000</v>
      </c>
      <c r="C99" s="38"/>
      <c r="D99" s="38"/>
      <c r="E99" s="38"/>
      <c r="F99" s="345"/>
    </row>
    <row r="100" spans="1:6" x14ac:dyDescent="0.3">
      <c r="A100" s="346" t="s">
        <v>394</v>
      </c>
      <c r="B100" s="274">
        <v>23500000</v>
      </c>
      <c r="C100" s="38"/>
      <c r="D100" s="38"/>
      <c r="E100" s="38"/>
      <c r="F100" s="345"/>
    </row>
    <row r="101" spans="1:6" x14ac:dyDescent="0.3">
      <c r="A101" s="346" t="s">
        <v>395</v>
      </c>
      <c r="B101" s="342">
        <f>B100/B99</f>
        <v>0.71865443425076447</v>
      </c>
      <c r="C101" s="38"/>
      <c r="D101" s="38"/>
      <c r="E101" s="38"/>
      <c r="F101" s="345"/>
    </row>
    <row r="102" spans="1:6" x14ac:dyDescent="0.3">
      <c r="A102" s="346"/>
      <c r="B102" s="38"/>
      <c r="C102" s="38"/>
      <c r="D102" s="38"/>
      <c r="E102" s="38"/>
      <c r="F102" s="345"/>
    </row>
    <row r="103" spans="1:6" x14ac:dyDescent="0.3">
      <c r="A103" s="346"/>
      <c r="B103" s="38" t="s">
        <v>401</v>
      </c>
      <c r="C103" s="38" t="s">
        <v>402</v>
      </c>
      <c r="D103" s="38" t="s">
        <v>403</v>
      </c>
      <c r="E103" s="38" t="s">
        <v>3</v>
      </c>
      <c r="F103" s="345"/>
    </row>
    <row r="104" spans="1:6" x14ac:dyDescent="0.3">
      <c r="A104" s="346" t="s">
        <v>396</v>
      </c>
      <c r="B104" s="274">
        <v>8500000</v>
      </c>
      <c r="C104" s="265">
        <v>1</v>
      </c>
      <c r="D104" s="343">
        <f>B104*C104</f>
        <v>8500000</v>
      </c>
      <c r="E104" s="38"/>
      <c r="F104" s="345"/>
    </row>
    <row r="105" spans="1:6" x14ac:dyDescent="0.3">
      <c r="A105" s="346" t="s">
        <v>397</v>
      </c>
      <c r="B105" s="274">
        <v>260355</v>
      </c>
      <c r="C105" s="265">
        <v>1</v>
      </c>
      <c r="D105" s="343">
        <f t="shared" ref="D105:D108" si="3">B105*C105</f>
        <v>260355</v>
      </c>
      <c r="E105" s="38"/>
      <c r="F105" s="345"/>
    </row>
    <row r="106" spans="1:6" x14ac:dyDescent="0.3">
      <c r="A106" s="346" t="s">
        <v>398</v>
      </c>
      <c r="B106" s="274">
        <v>16512</v>
      </c>
      <c r="C106" s="265">
        <v>1</v>
      </c>
      <c r="D106" s="343">
        <f t="shared" si="3"/>
        <v>16512</v>
      </c>
      <c r="E106" s="38" t="s">
        <v>467</v>
      </c>
      <c r="F106" s="345"/>
    </row>
    <row r="107" spans="1:6" x14ac:dyDescent="0.3">
      <c r="A107" s="346" t="s">
        <v>399</v>
      </c>
      <c r="B107" s="274">
        <v>14600000</v>
      </c>
      <c r="C107" s="265">
        <f>'Underlag -Transporter-Drivmede '!C64</f>
        <v>0.23299926492998907</v>
      </c>
      <c r="D107" s="343">
        <f t="shared" si="3"/>
        <v>3401789.2679778403</v>
      </c>
      <c r="E107" s="38"/>
      <c r="F107" s="345"/>
    </row>
    <row r="108" spans="1:6" x14ac:dyDescent="0.3">
      <c r="A108" s="346" t="s">
        <v>400</v>
      </c>
      <c r="B108" s="274">
        <v>111473</v>
      </c>
      <c r="C108" s="265">
        <f>'Underlag -Transporter-Drivmede '!C65</f>
        <v>5.6618107069443202E-2</v>
      </c>
      <c r="D108" s="343">
        <f t="shared" si="3"/>
        <v>6311.3902493520418</v>
      </c>
      <c r="E108" s="38"/>
      <c r="F108" s="345"/>
    </row>
    <row r="109" spans="1:6" x14ac:dyDescent="0.3">
      <c r="A109" s="346" t="s">
        <v>404</v>
      </c>
      <c r="B109" s="274"/>
      <c r="C109" s="38"/>
      <c r="D109" s="343">
        <f>SUM(D104:D108)</f>
        <v>12184967.658227194</v>
      </c>
      <c r="E109" s="38"/>
      <c r="F109" s="345"/>
    </row>
    <row r="110" spans="1:6" x14ac:dyDescent="0.3">
      <c r="A110" s="346" t="s">
        <v>405</v>
      </c>
      <c r="B110" s="274">
        <f>SUM(B104:B109)</f>
        <v>23488340</v>
      </c>
      <c r="C110" s="38"/>
      <c r="D110" s="38"/>
      <c r="E110" s="38"/>
      <c r="F110" s="345"/>
    </row>
    <row r="111" spans="1:6" x14ac:dyDescent="0.3">
      <c r="A111" s="346" t="s">
        <v>406</v>
      </c>
      <c r="B111" s="324">
        <f>D109/B110</f>
        <v>0.51876665861560223</v>
      </c>
      <c r="C111" s="38"/>
      <c r="D111" s="38"/>
      <c r="E111" s="38"/>
      <c r="F111" s="345"/>
    </row>
    <row r="112" spans="1:6" x14ac:dyDescent="0.3">
      <c r="A112" s="346"/>
      <c r="B112" s="38"/>
      <c r="C112" s="38"/>
      <c r="D112" s="38"/>
      <c r="E112" s="38"/>
      <c r="F112" s="345"/>
    </row>
    <row r="113" spans="1:6" x14ac:dyDescent="0.3">
      <c r="A113" s="346"/>
      <c r="B113" s="38" t="s">
        <v>407</v>
      </c>
      <c r="C113" s="38" t="s">
        <v>410</v>
      </c>
      <c r="D113" s="38" t="s">
        <v>408</v>
      </c>
      <c r="E113" s="38"/>
      <c r="F113" s="345"/>
    </row>
    <row r="114" spans="1:6" ht="15" thickBot="1" x14ac:dyDescent="0.35">
      <c r="A114" s="347" t="s">
        <v>407</v>
      </c>
      <c r="B114" s="373">
        <v>12.23</v>
      </c>
      <c r="C114" s="348">
        <f>B114/1000</f>
        <v>1.2230000000000001E-2</v>
      </c>
      <c r="D114" s="349" t="s">
        <v>409</v>
      </c>
      <c r="E114" s="349"/>
      <c r="F114" s="350"/>
    </row>
    <row r="115" spans="1:6" ht="15" thickTop="1" x14ac:dyDescent="0.3"/>
  </sheetData>
  <mergeCells count="15">
    <mergeCell ref="A76:F76"/>
    <mergeCell ref="A77:F77"/>
    <mergeCell ref="A66:F66"/>
    <mergeCell ref="A65:F65"/>
    <mergeCell ref="A17:J17"/>
    <mergeCell ref="A59:E59"/>
    <mergeCell ref="A51:H51"/>
    <mergeCell ref="A52:H52"/>
    <mergeCell ref="A30:J30"/>
    <mergeCell ref="A95:F95"/>
    <mergeCell ref="A96:F96"/>
    <mergeCell ref="A97:F97"/>
    <mergeCell ref="A78:F78"/>
    <mergeCell ref="A80:F80"/>
    <mergeCell ref="A91:F91"/>
  </mergeCells>
  <phoneticPr fontId="4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Metodik för datainsamling</vt:lpstr>
      <vt:lpstr>Avgränsningar</vt:lpstr>
      <vt:lpstr>El och Uppvärmning</vt:lpstr>
      <vt:lpstr>Transporter Steg 1, 2 och 3</vt:lpstr>
      <vt:lpstr>Transporter Steg 4</vt:lpstr>
      <vt:lpstr>ÄNDRA EJ -&gt;</vt:lpstr>
      <vt:lpstr>Underlag - El o Uppv</vt:lpstr>
      <vt:lpstr>Underlag -Transporter-Drivmede </vt:lpstr>
      <vt:lpstr>Underlag-Transport-Övriga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Eliasson Eric</dc:creator>
  <cp:lastModifiedBy>Elamzon Johannes</cp:lastModifiedBy>
  <dcterms:created xsi:type="dcterms:W3CDTF">2019-06-10T09:06:27Z</dcterms:created>
  <dcterms:modified xsi:type="dcterms:W3CDTF">2022-05-19T13:45:37Z</dcterms:modified>
</cp:coreProperties>
</file>